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2.xml" ContentType="application/vnd.openxmlformats-officedocument.drawing+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NunezMartinez.CTR\Documents\Work\Mine\"/>
    </mc:Choice>
  </mc:AlternateContent>
  <xr:revisionPtr revIDLastSave="0" documentId="13_ncr:1_{1802217B-2249-4291-B517-61B11E956398}" xr6:coauthVersionLast="47" xr6:coauthVersionMax="47" xr10:uidLastSave="{00000000-0000-0000-0000-000000000000}"/>
  <bookViews>
    <workbookView xWindow="-108" yWindow="-108" windowWidth="23256" windowHeight="12576" tabRatio="905" xr2:uid="{00000000-000D-0000-FFFF-FFFF00000000}"/>
  </bookViews>
  <sheets>
    <sheet name="START-INTRO" sheetId="10" r:id="rId1"/>
    <sheet name="Reference Material" sheetId="1" r:id="rId2"/>
    <sheet name="Flow Chart" sheetId="18" r:id="rId3"/>
    <sheet name="Inputs - Constant" sheetId="11" r:id="rId4"/>
    <sheet name="Inputs - Time Series" sheetId="15" r:id="rId5"/>
    <sheet name="Outputs" sheetId="14" r:id="rId6"/>
    <sheet name="DCF" sheetId="17" r:id="rId7"/>
    <sheet name="Outcomes Dashboard" sheetId="1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1" l="1"/>
  <c r="L48" i="15"/>
  <c r="F40" i="15"/>
  <c r="D31" i="15"/>
  <c r="E31" i="15"/>
  <c r="F31" i="15"/>
  <c r="G31" i="15"/>
  <c r="H31" i="15"/>
  <c r="I31" i="15"/>
  <c r="J31" i="15"/>
  <c r="K31" i="15"/>
  <c r="L31" i="15"/>
  <c r="M31" i="15"/>
  <c r="N31" i="15"/>
  <c r="C31" i="15"/>
  <c r="G52" i="15"/>
  <c r="H52" i="15"/>
  <c r="I52" i="15"/>
  <c r="J52" i="15"/>
  <c r="K52" i="15"/>
  <c r="L52" i="15"/>
  <c r="M52" i="15"/>
  <c r="N52" i="15"/>
  <c r="F52" i="15"/>
  <c r="G51" i="15"/>
  <c r="H51" i="15"/>
  <c r="I51" i="15"/>
  <c r="J51" i="15"/>
  <c r="K51" i="15"/>
  <c r="L51" i="15"/>
  <c r="M51" i="15"/>
  <c r="N51" i="15"/>
  <c r="F51" i="15"/>
  <c r="G48" i="15"/>
  <c r="H48" i="15"/>
  <c r="I48" i="15"/>
  <c r="J48" i="15"/>
  <c r="K48" i="15"/>
  <c r="M48" i="15"/>
  <c r="N48" i="15"/>
  <c r="F48" i="15"/>
  <c r="A42" i="11" l="1"/>
  <c r="F41" i="15"/>
  <c r="C21" i="16"/>
  <c r="D21" i="16"/>
  <c r="B21" i="16"/>
  <c r="B54" i="14" l="1"/>
  <c r="C54" i="14" s="1"/>
  <c r="D54" i="14" s="1"/>
  <c r="F90" i="11"/>
  <c r="G90" i="11"/>
  <c r="H90" i="11"/>
  <c r="I90" i="11"/>
  <c r="J90" i="11"/>
  <c r="K90" i="11"/>
  <c r="L90" i="11"/>
  <c r="M90" i="11"/>
  <c r="N90" i="11"/>
  <c r="E90" i="11"/>
  <c r="B84" i="11"/>
  <c r="G11" i="14" l="1"/>
  <c r="M33" i="14"/>
  <c r="K11" i="14"/>
  <c r="H33" i="14"/>
  <c r="E11" i="14"/>
  <c r="I11" i="14"/>
  <c r="N11" i="14"/>
  <c r="M11" i="14"/>
  <c r="J11" i="14"/>
  <c r="H11" i="14"/>
  <c r="E33" i="14"/>
  <c r="N33" i="14"/>
  <c r="K33" i="14"/>
  <c r="I33" i="14"/>
  <c r="L11" i="14"/>
  <c r="L33" i="14"/>
  <c r="J33" i="14"/>
  <c r="F11" i="14"/>
  <c r="G33" i="14"/>
  <c r="F33" i="14"/>
  <c r="E54" i="14"/>
  <c r="F54" i="14" l="1"/>
  <c r="B66" i="11"/>
  <c r="B15" i="17" l="1"/>
  <c r="C15" i="17"/>
  <c r="D15" i="17"/>
  <c r="M60" i="17"/>
  <c r="J15" i="17"/>
  <c r="J29" i="14" s="1"/>
  <c r="F15" i="17"/>
  <c r="F29" i="14" s="1"/>
  <c r="M15" i="17"/>
  <c r="M29" i="14" s="1"/>
  <c r="N15" i="17"/>
  <c r="N29" i="14" s="1"/>
  <c r="H15" i="17"/>
  <c r="H29" i="14" s="1"/>
  <c r="L15" i="17"/>
  <c r="L29" i="14" s="1"/>
  <c r="K15" i="17"/>
  <c r="K29" i="14" s="1"/>
  <c r="I15" i="17"/>
  <c r="I29" i="14" s="1"/>
  <c r="E15" i="17"/>
  <c r="G31" i="17"/>
  <c r="G15" i="17"/>
  <c r="G29" i="14" s="1"/>
  <c r="G60" i="17"/>
  <c r="H60" i="17"/>
  <c r="I60" i="17"/>
  <c r="J60" i="17"/>
  <c r="K60" i="17"/>
  <c r="L60" i="17"/>
  <c r="N60" i="17"/>
  <c r="E60" i="17"/>
  <c r="D60" i="17"/>
  <c r="F60" i="17"/>
  <c r="B60" i="17"/>
  <c r="C60" i="17"/>
  <c r="F31" i="17"/>
  <c r="B31" i="17"/>
  <c r="I31" i="17"/>
  <c r="J31" i="17"/>
  <c r="L31" i="17"/>
  <c r="N31" i="17"/>
  <c r="C31" i="17"/>
  <c r="H31" i="17"/>
  <c r="K31" i="17"/>
  <c r="M31" i="17"/>
  <c r="E31" i="17"/>
  <c r="D31" i="17"/>
  <c r="G54" i="14"/>
  <c r="H54" i="14" l="1"/>
  <c r="B17" i="14"/>
  <c r="E29" i="14"/>
  <c r="E56" i="14"/>
  <c r="C23" i="16"/>
  <c r="D23" i="16"/>
  <c r="B23" i="16"/>
  <c r="C22" i="16"/>
  <c r="D22" i="16"/>
  <c r="B22" i="16"/>
  <c r="F20" i="15"/>
  <c r="G20" i="15" s="1"/>
  <c r="H20" i="15" s="1"/>
  <c r="I20" i="15" s="1"/>
  <c r="J20" i="15" s="1"/>
  <c r="K20" i="15" s="1"/>
  <c r="L20" i="15" s="1"/>
  <c r="M20" i="15" s="1"/>
  <c r="N20" i="15" s="1"/>
  <c r="F19" i="15"/>
  <c r="G19" i="15" s="1"/>
  <c r="H19" i="15" s="1"/>
  <c r="I19" i="15" s="1"/>
  <c r="J19" i="15" s="1"/>
  <c r="K19" i="15" s="1"/>
  <c r="L19" i="15" s="1"/>
  <c r="M19" i="15" s="1"/>
  <c r="N19" i="15" s="1"/>
  <c r="G40" i="15" l="1"/>
  <c r="I54" i="14"/>
  <c r="G41" i="15"/>
  <c r="H41" i="15" s="1"/>
  <c r="I41" i="15" s="1"/>
  <c r="J41" i="15" s="1"/>
  <c r="K41" i="15" s="1"/>
  <c r="L41" i="15" s="1"/>
  <c r="M41" i="15" s="1"/>
  <c r="N41" i="15" s="1"/>
  <c r="F18" i="15"/>
  <c r="G18" i="15" s="1"/>
  <c r="H18" i="15" s="1"/>
  <c r="I18" i="15" s="1"/>
  <c r="J18" i="15" s="1"/>
  <c r="K18" i="15" s="1"/>
  <c r="L18" i="15" s="1"/>
  <c r="M18" i="15" s="1"/>
  <c r="N18" i="15" s="1"/>
  <c r="H40" i="15" l="1"/>
  <c r="J54" i="14"/>
  <c r="G56" i="14"/>
  <c r="F56" i="14"/>
  <c r="I40" i="15" l="1"/>
  <c r="K54" i="14"/>
  <c r="I56" i="14"/>
  <c r="H56" i="14"/>
  <c r="J40" i="15" l="1"/>
  <c r="L54" i="14"/>
  <c r="J56" i="14"/>
  <c r="K40" i="15" l="1"/>
  <c r="M54" i="14"/>
  <c r="K56" i="14"/>
  <c r="B52" i="11"/>
  <c r="B53" i="11" s="1"/>
  <c r="D49" i="11" s="1"/>
  <c r="L40" i="15" l="1"/>
  <c r="N54" i="14"/>
  <c r="B54" i="11"/>
  <c r="B55" i="11" s="1"/>
  <c r="E37" i="15" s="1"/>
  <c r="L56" i="14"/>
  <c r="A6" i="16"/>
  <c r="E17" i="15"/>
  <c r="M40" i="15" l="1"/>
  <c r="F37" i="15"/>
  <c r="N56" i="14"/>
  <c r="M56" i="14"/>
  <c r="A12" i="15"/>
  <c r="A4" i="14" s="1"/>
  <c r="A5" i="17"/>
  <c r="N40" i="15" l="1"/>
  <c r="G37" i="15"/>
  <c r="H37" i="15" l="1"/>
  <c r="B50" i="14"/>
  <c r="B51" i="14" s="1"/>
  <c r="F17" i="15"/>
  <c r="G17" i="15"/>
  <c r="H17" i="15"/>
  <c r="I17" i="15"/>
  <c r="J17" i="15"/>
  <c r="K17" i="15"/>
  <c r="L17" i="15"/>
  <c r="M17" i="15"/>
  <c r="N17" i="15"/>
  <c r="E55" i="14" l="1"/>
  <c r="F55" i="14"/>
  <c r="H55" i="14"/>
  <c r="G55" i="14"/>
  <c r="I37" i="15"/>
  <c r="I55" i="14" s="1"/>
  <c r="D9" i="14"/>
  <c r="D55" i="17" s="1"/>
  <c r="D59" i="17" s="1"/>
  <c r="B9" i="14"/>
  <c r="B55" i="17" s="1"/>
  <c r="B59" i="17" s="1"/>
  <c r="B61" i="17" s="1"/>
  <c r="C9" i="14"/>
  <c r="C55" i="17" s="1"/>
  <c r="C59" i="17" s="1"/>
  <c r="E57" i="14" l="1"/>
  <c r="F57" i="14"/>
  <c r="G57" i="14"/>
  <c r="H57" i="14"/>
  <c r="I57" i="14"/>
  <c r="C76" i="17"/>
  <c r="D76" i="17"/>
  <c r="E70" i="14"/>
  <c r="E72" i="14" s="1"/>
  <c r="I77" i="14"/>
  <c r="G77" i="14"/>
  <c r="H77" i="14"/>
  <c r="E77" i="14"/>
  <c r="F77" i="14"/>
  <c r="F70" i="14"/>
  <c r="F72" i="14" s="1"/>
  <c r="D61" i="17"/>
  <c r="C61" i="17"/>
  <c r="B62" i="17"/>
  <c r="G70" i="14"/>
  <c r="G72" i="14" s="1"/>
  <c r="H70" i="14"/>
  <c r="H72" i="14" s="1"/>
  <c r="D27" i="17"/>
  <c r="C27" i="17"/>
  <c r="J37" i="15"/>
  <c r="J55" i="14" s="1"/>
  <c r="B12" i="14"/>
  <c r="B27" i="17"/>
  <c r="C12" i="14"/>
  <c r="D12" i="14"/>
  <c r="G71" i="14" l="1"/>
  <c r="G73" i="14" s="1"/>
  <c r="G44" i="16" s="1"/>
  <c r="G11" i="17"/>
  <c r="B42" i="14"/>
  <c r="B10" i="17"/>
  <c r="B14" i="17" s="1"/>
  <c r="B16" i="17" s="1"/>
  <c r="B17" i="17" s="1"/>
  <c r="F71" i="14"/>
  <c r="F73" i="14" s="1"/>
  <c r="F44" i="16" s="1"/>
  <c r="F11" i="17"/>
  <c r="I71" i="14"/>
  <c r="I11" i="17"/>
  <c r="H71" i="14"/>
  <c r="H73" i="14" s="1"/>
  <c r="H44" i="16" s="1"/>
  <c r="H11" i="17"/>
  <c r="D42" i="14"/>
  <c r="D33" i="16" s="1"/>
  <c r="D10" i="17"/>
  <c r="D14" i="17" s="1"/>
  <c r="D16" i="17" s="1"/>
  <c r="C42" i="14"/>
  <c r="C33" i="16" s="1"/>
  <c r="C10" i="17"/>
  <c r="C14" i="17" s="1"/>
  <c r="C16" i="17" s="1"/>
  <c r="E71" i="14"/>
  <c r="E73" i="14" s="1"/>
  <c r="E11" i="17"/>
  <c r="I78" i="14"/>
  <c r="J57" i="14"/>
  <c r="G78" i="14"/>
  <c r="E78" i="14"/>
  <c r="H78" i="14"/>
  <c r="F78" i="14"/>
  <c r="J77" i="14"/>
  <c r="F11" i="16"/>
  <c r="H11" i="16"/>
  <c r="I11" i="16"/>
  <c r="G11" i="16"/>
  <c r="C62" i="17"/>
  <c r="D62" i="17" s="1"/>
  <c r="E11" i="16"/>
  <c r="G56" i="17"/>
  <c r="B15" i="14"/>
  <c r="I70" i="14"/>
  <c r="I72" i="14" s="1"/>
  <c r="H56" i="17"/>
  <c r="F56" i="17"/>
  <c r="E56" i="17"/>
  <c r="B12" i="16"/>
  <c r="D12" i="16"/>
  <c r="C12" i="16"/>
  <c r="K37" i="15"/>
  <c r="K55" i="14" s="1"/>
  <c r="H42" i="15"/>
  <c r="G42" i="15"/>
  <c r="F42" i="15"/>
  <c r="E42" i="15"/>
  <c r="C29" i="17" l="1"/>
  <c r="C30" i="17" s="1"/>
  <c r="C32" i="17" s="1"/>
  <c r="B33" i="16"/>
  <c r="C17" i="17"/>
  <c r="D17" i="17" s="1"/>
  <c r="B29" i="17"/>
  <c r="B30" i="17" s="1"/>
  <c r="B32" i="17" s="1"/>
  <c r="J71" i="14"/>
  <c r="J11" i="17"/>
  <c r="D29" i="17"/>
  <c r="D30" i="17" s="1"/>
  <c r="D32" i="17" s="1"/>
  <c r="K57" i="14"/>
  <c r="K77" i="14"/>
  <c r="I73" i="14"/>
  <c r="I44" i="16" s="1"/>
  <c r="J78" i="14"/>
  <c r="G58" i="17"/>
  <c r="J70" i="14"/>
  <c r="J72" i="14" s="1"/>
  <c r="I56" i="17"/>
  <c r="E44" i="16"/>
  <c r="H58" i="17"/>
  <c r="F58" i="17"/>
  <c r="L37" i="15"/>
  <c r="L55" i="14" s="1"/>
  <c r="C48" i="17" l="1"/>
  <c r="C49" i="17" s="1"/>
  <c r="D48" i="17"/>
  <c r="D49" i="17" s="1"/>
  <c r="K71" i="14"/>
  <c r="K11" i="17"/>
  <c r="L57" i="14"/>
  <c r="L77" i="14"/>
  <c r="K78" i="14"/>
  <c r="J11" i="16"/>
  <c r="J73" i="14"/>
  <c r="J44" i="16" s="1"/>
  <c r="K11" i="16"/>
  <c r="B33" i="17"/>
  <c r="K70" i="14"/>
  <c r="K72" i="14" s="1"/>
  <c r="J56" i="17"/>
  <c r="E58" i="17"/>
  <c r="I58" i="17"/>
  <c r="M37" i="15"/>
  <c r="M55" i="14" s="1"/>
  <c r="I42" i="15"/>
  <c r="L71" i="14" l="1"/>
  <c r="L11" i="17"/>
  <c r="C33" i="17"/>
  <c r="D33" i="17" s="1"/>
  <c r="M57" i="14"/>
  <c r="M77" i="14"/>
  <c r="K73" i="14"/>
  <c r="K44" i="16" s="1"/>
  <c r="L78" i="14"/>
  <c r="L11" i="16"/>
  <c r="L70" i="14"/>
  <c r="L72" i="14" s="1"/>
  <c r="K56" i="17"/>
  <c r="J58" i="17"/>
  <c r="N37" i="15"/>
  <c r="N55" i="14" s="1"/>
  <c r="J42" i="15"/>
  <c r="L73" i="14" l="1"/>
  <c r="M71" i="14"/>
  <c r="M56" i="17"/>
  <c r="M11" i="17"/>
  <c r="N57" i="14"/>
  <c r="N77" i="14"/>
  <c r="M78" i="14"/>
  <c r="M11" i="16"/>
  <c r="M70" i="14"/>
  <c r="M72" i="14" s="1"/>
  <c r="K58" i="17"/>
  <c r="L56" i="17"/>
  <c r="K42" i="15"/>
  <c r="M73" i="14" l="1"/>
  <c r="M58" i="17" s="1"/>
  <c r="N71" i="14"/>
  <c r="N11" i="17"/>
  <c r="N70" i="14"/>
  <c r="N72" i="14" s="1"/>
  <c r="N78" i="14"/>
  <c r="L58" i="17"/>
  <c r="L44" i="16"/>
  <c r="L42" i="15"/>
  <c r="M44" i="16" l="1"/>
  <c r="N56" i="17"/>
  <c r="N73" i="14"/>
  <c r="N44" i="16" s="1"/>
  <c r="N11" i="16"/>
  <c r="N42" i="15"/>
  <c r="M42" i="15"/>
  <c r="N58" i="17" l="1"/>
  <c r="B68" i="17" l="1"/>
  <c r="B16" i="16"/>
  <c r="B48" i="16" l="1"/>
  <c r="M79" i="14" l="1"/>
  <c r="M80" i="14" s="1"/>
  <c r="L79" i="14"/>
  <c r="L80" i="14" s="1"/>
  <c r="K79" i="14"/>
  <c r="K80" i="14" s="1"/>
  <c r="J79" i="14"/>
  <c r="J80" i="14" s="1"/>
  <c r="I79" i="14"/>
  <c r="I80" i="14" s="1"/>
  <c r="H79" i="14"/>
  <c r="H80" i="14" s="1"/>
  <c r="G79" i="14"/>
  <c r="G80" i="14" s="1"/>
  <c r="G10" i="14" s="1"/>
  <c r="G12" i="14" s="1"/>
  <c r="F79" i="14"/>
  <c r="F80" i="14" s="1"/>
  <c r="E79" i="14"/>
  <c r="E80" i="14" s="1"/>
  <c r="N79" i="14"/>
  <c r="K83" i="14" l="1"/>
  <c r="K13" i="16" s="1"/>
  <c r="K10" i="14"/>
  <c r="K12" i="14" s="1"/>
  <c r="K12" i="17" s="1"/>
  <c r="E83" i="14"/>
  <c r="E13" i="16" s="1"/>
  <c r="E10" i="14"/>
  <c r="G83" i="14"/>
  <c r="G13" i="16" s="1"/>
  <c r="G12" i="17"/>
  <c r="I83" i="14"/>
  <c r="I13" i="16" s="1"/>
  <c r="I10" i="14"/>
  <c r="I12" i="14" s="1"/>
  <c r="I12" i="17" s="1"/>
  <c r="L83" i="14"/>
  <c r="L13" i="16" s="1"/>
  <c r="L10" i="14"/>
  <c r="L12" i="14" s="1"/>
  <c r="L12" i="17" s="1"/>
  <c r="N80" i="14"/>
  <c r="N83" i="14" s="1"/>
  <c r="N13" i="16" s="1"/>
  <c r="N10" i="14"/>
  <c r="N12" i="14" s="1"/>
  <c r="N12" i="17" s="1"/>
  <c r="F83" i="14"/>
  <c r="F13" i="16" s="1"/>
  <c r="F10" i="14"/>
  <c r="F12" i="14" s="1"/>
  <c r="F12" i="17" s="1"/>
  <c r="H83" i="14"/>
  <c r="H13" i="16" s="1"/>
  <c r="H10" i="14"/>
  <c r="H12" i="14" s="1"/>
  <c r="H12" i="17" s="1"/>
  <c r="J83" i="14"/>
  <c r="J13" i="16" s="1"/>
  <c r="J10" i="14"/>
  <c r="J12" i="14" s="1"/>
  <c r="J12" i="17" s="1"/>
  <c r="M83" i="14"/>
  <c r="M13" i="16" s="1"/>
  <c r="M10" i="14"/>
  <c r="M12" i="14" s="1"/>
  <c r="M57" i="17" l="1"/>
  <c r="M59" i="17" s="1"/>
  <c r="M61" i="17" s="1"/>
  <c r="M12" i="17"/>
  <c r="B18" i="16"/>
  <c r="L57" i="17"/>
  <c r="L59" i="17" s="1"/>
  <c r="L12" i="16"/>
  <c r="L42" i="14"/>
  <c r="L62" i="14"/>
  <c r="L28" i="17" s="1"/>
  <c r="E12" i="14"/>
  <c r="E12" i="17" s="1"/>
  <c r="B16" i="14"/>
  <c r="B18" i="14" s="1"/>
  <c r="B17" i="16" s="1"/>
  <c r="N57" i="17"/>
  <c r="N59" i="17" s="1"/>
  <c r="N12" i="16"/>
  <c r="N42" i="14"/>
  <c r="N62" i="14"/>
  <c r="N28" i="17" s="1"/>
  <c r="G62" i="14"/>
  <c r="G28" i="17" s="1"/>
  <c r="G42" i="14"/>
  <c r="G12" i="16"/>
  <c r="G57" i="17"/>
  <c r="G59" i="17" s="1"/>
  <c r="I12" i="16"/>
  <c r="I42" i="14"/>
  <c r="I57" i="17"/>
  <c r="I59" i="17" s="1"/>
  <c r="I62" i="14"/>
  <c r="I28" i="17" s="1"/>
  <c r="F62" i="14"/>
  <c r="F28" i="17" s="1"/>
  <c r="F57" i="17"/>
  <c r="F59" i="17" s="1"/>
  <c r="F12" i="16"/>
  <c r="F42" i="14"/>
  <c r="K57" i="17"/>
  <c r="K59" i="17" s="1"/>
  <c r="K12" i="16"/>
  <c r="K42" i="14"/>
  <c r="K62" i="14"/>
  <c r="K28" i="17" s="1"/>
  <c r="M12" i="16"/>
  <c r="M42" i="14"/>
  <c r="M62" i="14"/>
  <c r="M28" i="17" s="1"/>
  <c r="J12" i="16"/>
  <c r="J57" i="17"/>
  <c r="J59" i="17" s="1"/>
  <c r="J42" i="14"/>
  <c r="J62" i="14"/>
  <c r="J28" i="17" s="1"/>
  <c r="H12" i="16"/>
  <c r="H62" i="14"/>
  <c r="H28" i="17" s="1"/>
  <c r="H42" i="14"/>
  <c r="H57" i="17"/>
  <c r="H59" i="17" s="1"/>
  <c r="G29" i="17" l="1"/>
  <c r="G30" i="17" s="1"/>
  <c r="G32" i="17" s="1"/>
  <c r="G33" i="16"/>
  <c r="E57" i="17"/>
  <c r="E59" i="17" s="1"/>
  <c r="E61" i="17" s="1"/>
  <c r="E12" i="16"/>
  <c r="E42" i="14"/>
  <c r="B45" i="14" s="1"/>
  <c r="E62" i="14"/>
  <c r="B25" i="14"/>
  <c r="B26" i="14" s="1"/>
  <c r="H76" i="17"/>
  <c r="H61" i="17"/>
  <c r="K33" i="16"/>
  <c r="K29" i="17"/>
  <c r="K30" i="17" s="1"/>
  <c r="K48" i="17" s="1"/>
  <c r="K49" i="17" s="1"/>
  <c r="J33" i="16"/>
  <c r="J29" i="17"/>
  <c r="J30" i="17" s="1"/>
  <c r="K76" i="17"/>
  <c r="K61" i="17"/>
  <c r="G76" i="17"/>
  <c r="G61" i="17"/>
  <c r="H29" i="17"/>
  <c r="H30" i="17" s="1"/>
  <c r="H33" i="16"/>
  <c r="I33" i="16"/>
  <c r="I29" i="17"/>
  <c r="I30" i="17" s="1"/>
  <c r="L33" i="16"/>
  <c r="L29" i="17"/>
  <c r="L30" i="17" s="1"/>
  <c r="M33" i="16"/>
  <c r="M29" i="17"/>
  <c r="M30" i="17" s="1"/>
  <c r="M48" i="17" s="1"/>
  <c r="F76" i="17"/>
  <c r="F61" i="17"/>
  <c r="N33" i="16"/>
  <c r="N29" i="17"/>
  <c r="N30" i="17" s="1"/>
  <c r="M76" i="17"/>
  <c r="F33" i="16"/>
  <c r="F29" i="17"/>
  <c r="F30" i="17" s="1"/>
  <c r="L76" i="17"/>
  <c r="L61" i="17"/>
  <c r="I76" i="17"/>
  <c r="I61" i="17"/>
  <c r="N76" i="17"/>
  <c r="N61" i="17"/>
  <c r="J76" i="17"/>
  <c r="J61" i="17"/>
  <c r="B39" i="17" l="1"/>
  <c r="B38" i="16" s="1"/>
  <c r="J32" i="17"/>
  <c r="J48" i="17"/>
  <c r="J49" i="17" s="1"/>
  <c r="M32" i="17"/>
  <c r="M49" i="17"/>
  <c r="I48" i="17"/>
  <c r="I49" i="17" s="1"/>
  <c r="I32" i="17"/>
  <c r="E28" i="17"/>
  <c r="B65" i="14"/>
  <c r="J30" i="14"/>
  <c r="J31" i="14" s="1"/>
  <c r="J21" i="16" s="1"/>
  <c r="F32" i="14"/>
  <c r="F34" i="14" s="1"/>
  <c r="F36" i="14" s="1"/>
  <c r="N32" i="14"/>
  <c r="N34" i="14" s="1"/>
  <c r="N36" i="14" s="1"/>
  <c r="N30" i="14"/>
  <c r="N31" i="14" s="1"/>
  <c r="N21" i="16" s="1"/>
  <c r="K32" i="14"/>
  <c r="K34" i="14" s="1"/>
  <c r="L30" i="14"/>
  <c r="L31" i="14" s="1"/>
  <c r="L21" i="16" s="1"/>
  <c r="G30" i="14"/>
  <c r="G31" i="14" s="1"/>
  <c r="G21" i="16" s="1"/>
  <c r="F30" i="14"/>
  <c r="F31" i="14" s="1"/>
  <c r="F21" i="16" s="1"/>
  <c r="I30" i="14"/>
  <c r="I31" i="14" s="1"/>
  <c r="I21" i="16" s="1"/>
  <c r="H30" i="14"/>
  <c r="H31" i="14" s="1"/>
  <c r="H21" i="16" s="1"/>
  <c r="M30" i="14"/>
  <c r="M31" i="14" s="1"/>
  <c r="M21" i="16" s="1"/>
  <c r="J32" i="14"/>
  <c r="J34" i="14" s="1"/>
  <c r="I32" i="14"/>
  <c r="I34" i="14" s="1"/>
  <c r="H32" i="14"/>
  <c r="H34" i="14" s="1"/>
  <c r="K30" i="14"/>
  <c r="K31" i="14" s="1"/>
  <c r="K21" i="16" s="1"/>
  <c r="G32" i="14"/>
  <c r="G34" i="14" s="1"/>
  <c r="M32" i="14"/>
  <c r="M34" i="14" s="1"/>
  <c r="E32" i="14"/>
  <c r="B30" i="16" s="1"/>
  <c r="E30" i="14"/>
  <c r="E31" i="14" s="1"/>
  <c r="E21" i="16" s="1"/>
  <c r="L32" i="14"/>
  <c r="L34" i="14" s="1"/>
  <c r="E76" i="17"/>
  <c r="B66" i="17"/>
  <c r="B49" i="16" s="1"/>
  <c r="H32" i="17"/>
  <c r="H48" i="17"/>
  <c r="H49" i="17" s="1"/>
  <c r="N48" i="17"/>
  <c r="N49" i="17" s="1"/>
  <c r="N32" i="17"/>
  <c r="K32" i="17"/>
  <c r="F48" i="17"/>
  <c r="F49" i="17" s="1"/>
  <c r="F32" i="17"/>
  <c r="L48" i="17"/>
  <c r="L49" i="17" s="1"/>
  <c r="L32" i="17"/>
  <c r="E29" i="17"/>
  <c r="E33" i="16"/>
  <c r="G48" i="17"/>
  <c r="G49" i="17" s="1"/>
  <c r="E34" i="14" l="1"/>
  <c r="E35" i="14" s="1"/>
  <c r="E13" i="17" s="1"/>
  <c r="E14" i="17" s="1"/>
  <c r="E16" i="17" s="1"/>
  <c r="E17" i="17" s="1"/>
  <c r="F37" i="14"/>
  <c r="F23" i="16" s="1"/>
  <c r="N37" i="14"/>
  <c r="N23" i="16" s="1"/>
  <c r="E30" i="17"/>
  <c r="E32" i="17" s="1"/>
  <c r="N35" i="14"/>
  <c r="L36" i="14"/>
  <c r="L37" i="14" s="1"/>
  <c r="L23" i="16" s="1"/>
  <c r="L35" i="14"/>
  <c r="L13" i="17" s="1"/>
  <c r="L14" i="17" s="1"/>
  <c r="L16" i="17" s="1"/>
  <c r="M36" i="14"/>
  <c r="M37" i="14" s="1"/>
  <c r="M23" i="16" s="1"/>
  <c r="M35" i="14"/>
  <c r="M13" i="17" s="1"/>
  <c r="M14" i="17" s="1"/>
  <c r="M16" i="17" s="1"/>
  <c r="K36" i="14"/>
  <c r="K37" i="14" s="1"/>
  <c r="K23" i="16" s="1"/>
  <c r="K35" i="14"/>
  <c r="G36" i="14"/>
  <c r="G37" i="14" s="1"/>
  <c r="G23" i="16" s="1"/>
  <c r="G35" i="14"/>
  <c r="G13" i="17" s="1"/>
  <c r="G14" i="17" s="1"/>
  <c r="G16" i="17" s="1"/>
  <c r="F35" i="14"/>
  <c r="F13" i="17" s="1"/>
  <c r="F14" i="17" s="1"/>
  <c r="F16" i="17" s="1"/>
  <c r="H36" i="14"/>
  <c r="H37" i="14" s="1"/>
  <c r="H23" i="16" s="1"/>
  <c r="H35" i="14"/>
  <c r="H13" i="17" s="1"/>
  <c r="H14" i="17" s="1"/>
  <c r="H16" i="17" s="1"/>
  <c r="E62" i="17"/>
  <c r="B65" i="17"/>
  <c r="I36" i="14"/>
  <c r="I37" i="14" s="1"/>
  <c r="I23" i="16" s="1"/>
  <c r="I35" i="14"/>
  <c r="I13" i="17" s="1"/>
  <c r="I14" i="17" s="1"/>
  <c r="I16" i="17" s="1"/>
  <c r="J36" i="14"/>
  <c r="J37" i="14" s="1"/>
  <c r="J23" i="16" s="1"/>
  <c r="J35" i="14"/>
  <c r="J13" i="17" s="1"/>
  <c r="J14" i="17" s="1"/>
  <c r="J16" i="17" s="1"/>
  <c r="K13" i="17" l="1"/>
  <c r="K14" i="17" s="1"/>
  <c r="K16" i="17" s="1"/>
  <c r="K22" i="16"/>
  <c r="N22" i="16"/>
  <c r="N13" i="17"/>
  <c r="N14" i="17" s="1"/>
  <c r="N16" i="17" s="1"/>
  <c r="F17" i="17"/>
  <c r="E36" i="14"/>
  <c r="E37" i="14" s="1"/>
  <c r="E23" i="16" s="1"/>
  <c r="B28" i="16" s="1"/>
  <c r="B37" i="17"/>
  <c r="B37" i="16" s="1"/>
  <c r="F62" i="17"/>
  <c r="G62" i="17" s="1"/>
  <c r="H62" i="17" s="1"/>
  <c r="I62" i="17" s="1"/>
  <c r="J62" i="17" s="1"/>
  <c r="K62" i="17" s="1"/>
  <c r="L62" i="17" s="1"/>
  <c r="E48" i="17"/>
  <c r="E49" i="17" s="1"/>
  <c r="G22" i="16"/>
  <c r="H22" i="16"/>
  <c r="E33" i="17"/>
  <c r="B36" i="17"/>
  <c r="I22" i="16"/>
  <c r="B71" i="17"/>
  <c r="B47" i="16"/>
  <c r="E22" i="16"/>
  <c r="M22" i="16"/>
  <c r="F22" i="16"/>
  <c r="L22" i="16"/>
  <c r="J22" i="16"/>
  <c r="M62" i="17" l="1"/>
  <c r="N62" i="17" s="1"/>
  <c r="B67" i="17" s="1" a="1"/>
  <c r="B67" i="17" s="1"/>
  <c r="G17" i="17"/>
  <c r="H17" i="17" s="1"/>
  <c r="I17" i="17" s="1"/>
  <c r="J17" i="17" s="1"/>
  <c r="K17" i="17" s="1"/>
  <c r="L17" i="17" s="1"/>
  <c r="M17" i="17" s="1"/>
  <c r="N17" i="17" s="1"/>
  <c r="B50" i="16"/>
  <c r="B72" i="17"/>
  <c r="B76" i="17"/>
  <c r="B73" i="17" s="1"/>
  <c r="F33" i="17"/>
  <c r="B42" i="17"/>
  <c r="B36" i="16"/>
  <c r="B27" i="16"/>
  <c r="B21" i="17"/>
  <c r="B29" i="16" s="1"/>
  <c r="G33" i="17" l="1"/>
  <c r="H33" i="17" s="1"/>
  <c r="B20" i="17"/>
  <c r="B26" i="16" s="1"/>
  <c r="B39" i="16"/>
  <c r="B48" i="17"/>
  <c r="B43" i="17"/>
  <c r="B40" i="16" s="1"/>
  <c r="I33" i="17" l="1"/>
  <c r="J33" i="17" s="1"/>
  <c r="K33" i="17" s="1"/>
  <c r="L33" i="17" s="1"/>
  <c r="M33" i="17" s="1"/>
  <c r="N33" i="17" s="1"/>
  <c r="B44" i="17"/>
  <c r="B41" i="16" s="1"/>
  <c r="B49" i="17"/>
  <c r="B50" i="17" s="1"/>
  <c r="C50" i="17" s="1"/>
  <c r="D50" i="17" s="1"/>
  <c r="E50" i="17" s="1"/>
  <c r="F50" i="17" s="1"/>
  <c r="G50" i="17" s="1"/>
  <c r="H50" i="17" s="1"/>
  <c r="I50" i="17" s="1"/>
  <c r="J50" i="17" s="1"/>
  <c r="B38" i="17" l="1" a="1"/>
  <c r="B38" i="17" s="1"/>
  <c r="K50" i="17"/>
  <c r="L50" i="17" s="1"/>
  <c r="M50" i="17" s="1"/>
  <c r="N50" i="17" s="1"/>
  <c r="B22" i="17" a="1"/>
  <c r="B22"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<sst xmlns="http://schemas.openxmlformats.org/spreadsheetml/2006/main" count="1058" uniqueCount="368">
  <si>
    <t>Year 5</t>
  </si>
  <si>
    <t>Year 4</t>
  </si>
  <si>
    <t>Year 3</t>
  </si>
  <si>
    <t>Year 2</t>
  </si>
  <si>
    <t>Year 1</t>
  </si>
  <si>
    <t>Year 0</t>
  </si>
  <si>
    <t>Capital Cost Item</t>
  </si>
  <si>
    <t>Year 6</t>
  </si>
  <si>
    <t>Year 7</t>
  </si>
  <si>
    <t>Year 8</t>
  </si>
  <si>
    <t>Year 9</t>
  </si>
  <si>
    <t>Year 10</t>
  </si>
  <si>
    <t>Discounted Cash Flow Analysis</t>
  </si>
  <si>
    <t>User-Supplied Data</t>
  </si>
  <si>
    <t>Reference Material</t>
  </si>
  <si>
    <t>Source</t>
  </si>
  <si>
    <t>Link</t>
  </si>
  <si>
    <t>https://afdc.energy.gov/fuels/electricity_infrastructure_development.html</t>
  </si>
  <si>
    <t xml:space="preserve">https://afdc.energy.gov/fuels/electricity_infrastructure.html </t>
  </si>
  <si>
    <t>This sheet provides sources to information on costs and economic impacts associated with EVCI.</t>
  </si>
  <si>
    <t>U.S. DOE - Alternative Fuels Data Center</t>
  </si>
  <si>
    <t>https://cleancities.energy.gov/files/u/news_events/document/612/file/JOBS%20EVSE%20webinar%20122121r3_approved%20to%20post.pdf?f1e034ebf3</t>
  </si>
  <si>
    <t>https://www.anl.gov/esia/jobs-evse</t>
  </si>
  <si>
    <t>Description</t>
  </si>
  <si>
    <t>https://afdc.energy.gov/fuels/electricity_infrastructure_maintenance_and_operation.html</t>
  </si>
  <si>
    <t>Charging infrastructure operation and maintenance: costs and fees.</t>
  </si>
  <si>
    <t>U.S. DOE - ANL Jobs EVSE 2.0</t>
  </si>
  <si>
    <t>Sheets</t>
  </si>
  <si>
    <t>Version Date:</t>
  </si>
  <si>
    <t>Email</t>
  </si>
  <si>
    <t xml:space="preserve">Name </t>
  </si>
  <si>
    <t>Contact(s):</t>
  </si>
  <si>
    <t>Sheet Name</t>
  </si>
  <si>
    <t>Outputs</t>
  </si>
  <si>
    <t>Inputs - Time Series</t>
  </si>
  <si>
    <t>*Only put values in this row if you have calculated your own revenue projections, in which case, do not input values in the revenue rows above.</t>
  </si>
  <si>
    <t>Revenue Estimate Input:</t>
  </si>
  <si>
    <t>Revenue Scenario</t>
  </si>
  <si>
    <t>Baseline</t>
  </si>
  <si>
    <t>Revenue Scenario - Multiple</t>
  </si>
  <si>
    <t>Equation or Fixed</t>
  </si>
  <si>
    <t>Multiple</t>
  </si>
  <si>
    <t>Total Project Revenues</t>
  </si>
  <si>
    <t>Minimum Revenue Guarantee</t>
  </si>
  <si>
    <t>Free Cash Flow</t>
  </si>
  <si>
    <t>Cumulative Discounted Cash Flow</t>
  </si>
  <si>
    <t>NPV (Net Present Value)</t>
  </si>
  <si>
    <t>IRR (Internal Rate of Return)</t>
  </si>
  <si>
    <t>Peak-Hour Charging</t>
  </si>
  <si>
    <t>User-Override</t>
  </si>
  <si>
    <t>Revenue Estimates</t>
  </si>
  <si>
    <t>Operating Income</t>
  </si>
  <si>
    <t>Inputs - Constant</t>
  </si>
  <si>
    <t>DCF</t>
  </si>
  <si>
    <t>Revenue Sharing Strategy</t>
  </si>
  <si>
    <t>*Amount of revenue above the revenue cap that the private developer will collect (based on the agreed percentage of revenue sharing mechanism), if applicable.</t>
  </si>
  <si>
    <t>Financial Performance Indicators</t>
  </si>
  <si>
    <t>Flow Chart</t>
  </si>
  <si>
    <t>Discounted Cash Flows</t>
  </si>
  <si>
    <t>*The Optimistic and Pessimistic scenario will be multiply revenues by the multiple you input. Baseline multiple = 1.</t>
  </si>
  <si>
    <t>Charts:</t>
  </si>
  <si>
    <t>*only applied to EV charging related revenues</t>
  </si>
  <si>
    <t>This sheet outlines how the inputs flow into the outputs and discounted cash flow model, which then feed into summary charts.</t>
  </si>
  <si>
    <t>Other Revenues (Advertising, Private Sector Partners On-Site, if applicable)</t>
  </si>
  <si>
    <t>A study evaluating the total costs of installing DC Fast Chargers along major transportation corridors in California.</t>
  </si>
  <si>
    <t>https://www.sciencedirect.com/science/article/pii/S2213624X23000238</t>
  </si>
  <si>
    <t>https://www.statista.com/outlook/mmo/electric-vehicles/united-states</t>
  </si>
  <si>
    <t>Outcomes Dashboard</t>
  </si>
  <si>
    <t>Optional</t>
  </si>
  <si>
    <t>Year 11</t>
  </si>
  <si>
    <t>Year 12</t>
  </si>
  <si>
    <t>Annual Visits</t>
  </si>
  <si>
    <t>Rough Demand Estimation: Bottom Up Approach</t>
  </si>
  <si>
    <t>*Operation Costs (Breakdown) is a sum of the 3 cells below it. If you have your own total Operation Costs calculations for a year, please enter them in "Operation Costs (Own Values)", and leave rows 14-16 empty for that given year.</t>
  </si>
  <si>
    <t>Total Daily Visits to EVCI</t>
  </si>
  <si>
    <t>Ongoing Capital Cost During Operational Period</t>
  </si>
  <si>
    <t>Initial Capital Expenditures</t>
  </si>
  <si>
    <t>Discount Factor (1/(1+r)^n)</t>
  </si>
  <si>
    <t>NPV of Cash Flows</t>
  </si>
  <si>
    <t>Revenue Estimate Input (Nominal):</t>
  </si>
  <si>
    <t>Cost Estimate Input (Nominal) - Operations &amp; Maintenance Phase:</t>
  </si>
  <si>
    <t>Demand Estimate (Current):</t>
  </si>
  <si>
    <t>Cost Estimate Output (Nominal):</t>
  </si>
  <si>
    <t>Revenue Estimate Output (Nominal):</t>
  </si>
  <si>
    <t>Summary Data:</t>
  </si>
  <si>
    <t>This sheet contains statistics and charts summarizing key financial data relevant to the EVCI Project.</t>
  </si>
  <si>
    <t>This sheet calculates the discounted cash flow, net present value, internal rate of return, optimal subsidy, and discounted payback period for the EV charging infrastructure project.</t>
  </si>
  <si>
    <t>Revenues</t>
  </si>
  <si>
    <t>*Over duration of this projection.</t>
  </si>
  <si>
    <t>Total Revenues from EV Charging, Fees, and Subscriptions</t>
  </si>
  <si>
    <r>
      <t>*</t>
    </r>
    <r>
      <rPr>
        <i/>
        <sz val="18"/>
        <rFont val="Arial"/>
        <family val="2"/>
      </rPr>
      <t>Revenues from EV charging related activity</t>
    </r>
  </si>
  <si>
    <t>Patrick DeCorla-Souza</t>
  </si>
  <si>
    <t>Patrick.DeCorla-Souza@dot.gov</t>
  </si>
  <si>
    <t>Availability Payments</t>
  </si>
  <si>
    <t>Government Support:</t>
  </si>
  <si>
    <t>Initial Capital Costs</t>
  </si>
  <si>
    <r>
      <t xml:space="preserve">*Based on inputs and minimum revenue guarantee agreements. This is up to how much the agency could pay out to the private developer if actual revenues are below </t>
    </r>
    <r>
      <rPr>
        <i/>
        <u/>
        <sz val="18"/>
        <rFont val="Arial"/>
        <family val="2"/>
      </rPr>
      <t>base</t>
    </r>
    <r>
      <rPr>
        <i/>
        <sz val="18"/>
        <rFont val="Arial"/>
        <family val="2"/>
      </rPr>
      <t xml:space="preserve"> forecast.</t>
    </r>
  </si>
  <si>
    <t>Revenue Cap</t>
  </si>
  <si>
    <t>*Automatically determined by base forecast</t>
  </si>
  <si>
    <t>Revenues Above the Cap</t>
  </si>
  <si>
    <t>Amount of Revenue above the Revenue Cap Private Developer Will Collect (if applicable)</t>
  </si>
  <si>
    <t>Amount of Revenue Above the Revenue Cap that the Public Agency Will Receive Back (if applicable)</t>
  </si>
  <si>
    <t>*Amount of revenue above the revenue cap that the public agency will receive back (based on the agreed percentage of revenue sharing mechanism), if applicable.</t>
  </si>
  <si>
    <t>Total Project Costs</t>
  </si>
  <si>
    <t>Eligible O&amp;M Costs</t>
  </si>
  <si>
    <t>Operating Income of EVCI</t>
  </si>
  <si>
    <t>Annual Operating Income</t>
  </si>
  <si>
    <t>Cost Allocation in Capital Delivery Phase</t>
  </si>
  <si>
    <t>NPV of Total Costs</t>
  </si>
  <si>
    <t>Total EVCI Project Costs (NPV)</t>
  </si>
  <si>
    <t>Total Capital Cost (NPV)</t>
  </si>
  <si>
    <t>NPV of Revenues - Cost</t>
  </si>
  <si>
    <t>Availability Payment Adjusted for Discount Rate (Future Values)</t>
  </si>
  <si>
    <t>Federal Coverage %</t>
  </si>
  <si>
    <t>Non-Federally Reimbursed Amount</t>
  </si>
  <si>
    <t>Federal Reimbursement</t>
  </si>
  <si>
    <t>Discounted Cashflow Analysis: Performance Based Approach</t>
  </si>
  <si>
    <t>Eligible Costs</t>
  </si>
  <si>
    <t>Discounted Cashflow Analysis: Grant Based Approach</t>
  </si>
  <si>
    <t>Performance Based P3</t>
  </si>
  <si>
    <t>Grant Based P3</t>
  </si>
  <si>
    <t>Government Support Inputs:</t>
  </si>
  <si>
    <t>NPV of Grants</t>
  </si>
  <si>
    <t>*Market return approximation is 10%</t>
  </si>
  <si>
    <t>Escalation:</t>
  </si>
  <si>
    <t>Escalation Factors (Annual Growth Rates)</t>
  </si>
  <si>
    <t xml:space="preserve">https://fred.stlouisfed.org/series/CUSR0000SEHF01#0 </t>
  </si>
  <si>
    <t>CPI for All Urban Consumers: Electricity in US City Average</t>
  </si>
  <si>
    <t>Key Project Data</t>
  </si>
  <si>
    <t>EVCI-FAST: Financial Analysis Spreadsheet Tool for Electric Vehicle Charging Infrastructure using P3s</t>
  </si>
  <si>
    <t>Daily Visits per Port</t>
  </si>
  <si>
    <t>This sheet contains time series inputs for O&amp;M costs, government support, revenues, and revenue structures.</t>
  </si>
  <si>
    <t>This sheet contains the outputs for total costs, government support, revenues, operating income, and revenue structures.</t>
  </si>
  <si>
    <t>Federal Reimbursment</t>
  </si>
  <si>
    <t xml:space="preserve">https://atlaspolicy.com/ev-charging-cost-calculator/ </t>
  </si>
  <si>
    <t xml:space="preserve">EV Charging Cost Calculator (v0.2). </t>
  </si>
  <si>
    <t>*Input at your own discretion.</t>
  </si>
  <si>
    <r>
      <t xml:space="preserve">Total </t>
    </r>
    <r>
      <rPr>
        <b/>
        <sz val="18"/>
        <color theme="1"/>
        <rFont val="Arial"/>
        <family val="2"/>
      </rPr>
      <t>Eligible</t>
    </r>
    <r>
      <rPr>
        <sz val="18"/>
        <color theme="1"/>
        <rFont val="Arial"/>
        <family val="2"/>
      </rPr>
      <t xml:space="preserve"> Capital Expenditures</t>
    </r>
  </si>
  <si>
    <t xml:space="preserve">NPV (Net Present Value) </t>
  </si>
  <si>
    <r>
      <t>IRR (Internal Rate of Return)</t>
    </r>
    <r>
      <rPr>
        <sz val="18"/>
        <color theme="1"/>
        <rFont val="Arial"/>
        <family val="2"/>
      </rPr>
      <t xml:space="preserve"> </t>
    </r>
  </si>
  <si>
    <t>Federal Reimbursement  of Availability Payment %</t>
  </si>
  <si>
    <t>P3 Inputs (Grants and Performance Based P3)</t>
  </si>
  <si>
    <t>Grants (Milestone/Progress Payments)</t>
  </si>
  <si>
    <t>Total (Eligible) Project Costs</t>
  </si>
  <si>
    <t>Non-Federally Reimbursed Portion of Availability Payment %</t>
  </si>
  <si>
    <t>*Maximum Capacity per port * Occupancy Per port</t>
  </si>
  <si>
    <t>*Daily Visits Per Port * Number of EV Ports</t>
  </si>
  <si>
    <t>Values</t>
  </si>
  <si>
    <t>*</t>
  </si>
  <si>
    <t>Pessimistic (&lt;1) *</t>
  </si>
  <si>
    <t>Optimistic (&gt;1) *</t>
  </si>
  <si>
    <t>Price per kWh - Off-Peak Hours *</t>
  </si>
  <si>
    <t>Estimated Charge Duration per EV (hrs) *</t>
  </si>
  <si>
    <t>Estimated Occupancy per Port *</t>
  </si>
  <si>
    <t>Number of EV Ports *</t>
  </si>
  <si>
    <t>Federal Coverage % *</t>
  </si>
  <si>
    <t>Project Title *</t>
  </si>
  <si>
    <t>Run Number *</t>
  </si>
  <si>
    <t>•</t>
  </si>
  <si>
    <t>Italic</t>
  </si>
  <si>
    <t>Legend</t>
  </si>
  <si>
    <t>Initial Capital and Construction Cost Estimate Input (Nominal):</t>
  </si>
  <si>
    <t>Percentage of Initial Capital Cost Spent *</t>
  </si>
  <si>
    <t>*The total should amount to 100%</t>
  </si>
  <si>
    <t>*For a top down approach consider traffic volume, EV's as a percentage of traffic volume, anticipated EV growth rate, expected number of charging sessions per EV car trip, and other factors at your discretion.</t>
  </si>
  <si>
    <t>Total Revenue Calculation for EVCI</t>
  </si>
  <si>
    <t>Minimum Revenue Guarantee Private Sector is Eligible to Receive from Agency: % of (Base) Forecasted Revenues •</t>
  </si>
  <si>
    <t>Proportion of Revenue above the Revenue Cap the Private Developer Will Collect •</t>
  </si>
  <si>
    <t>NPV of Total Availability Payment</t>
  </si>
  <si>
    <t>Calculation of Total Availability Payment</t>
  </si>
  <si>
    <t>Availability Payments and Federal Reimbursement Calculation - Time Series</t>
  </si>
  <si>
    <t>Grant Payments - Time Series</t>
  </si>
  <si>
    <t>Calculation of Total Grant</t>
  </si>
  <si>
    <t>Revenue Scenario and Multiple</t>
  </si>
  <si>
    <t>Price per kWh (Peak and Off-Peak Weighted Average)</t>
  </si>
  <si>
    <t>DCF Table - Performance Based P3</t>
  </si>
  <si>
    <t>DCF Table - Grant Based P3</t>
  </si>
  <si>
    <t>Grants</t>
  </si>
  <si>
    <t>Net Present Values of Key Data</t>
  </si>
  <si>
    <t>This sheet contains inputs for initial capital costs, revenues, demand, the discount rate, and escalation factors.</t>
  </si>
  <si>
    <t>Total Annual Cost Breakdown</t>
  </si>
  <si>
    <t>Contracts under the NEVI Program: A Discussion</t>
  </si>
  <si>
    <t>Market Engagement and Partner Selection for Electric Vehicle Charging Infrastructure Public-Private Partnerships. February 2024 FINAL DRAFT.</t>
  </si>
  <si>
    <t>Structuring Options for Performance-Based Contracts under the NEVI Program: A Discussion Paper. April 2023 DRAFT.</t>
  </si>
  <si>
    <t>State of the Practice and Emerging Practices in Public-Private Partnerships for Electric Vehicle Charging Infrastructure. January 2024 DRAFT.</t>
  </si>
  <si>
    <t>Electric Vehicle Charging Stations</t>
  </si>
  <si>
    <t>https://afdc.energy.gov/fuels/electricity_infrastructure_trends.html</t>
  </si>
  <si>
    <t>Electric Vehicle Charging Infrastructure Trends</t>
  </si>
  <si>
    <t xml:space="preserve">https://www.bnnbloomberg.ca/ev-charging-stations-are-finally-getting-busy-enough-to-make-money-in-us-1.2043266 </t>
  </si>
  <si>
    <t>Discount Rate</t>
  </si>
  <si>
    <r>
      <t>Availability Payment Ratio:</t>
    </r>
    <r>
      <rPr>
        <i/>
        <sz val="18"/>
        <rFont val="Arial"/>
        <family val="2"/>
      </rPr>
      <t xml:space="preserve"> NPV of Total Availability Payment / (NPV of Total Eligible Costs)</t>
    </r>
  </si>
  <si>
    <t>IRR (Post Subsidy Adjustment)</t>
  </si>
  <si>
    <t>Free Cash Flows After Subsidy Adjustment</t>
  </si>
  <si>
    <t xml:space="preserve">Free Cash Flow </t>
  </si>
  <si>
    <t>Financial Performance Indicators - Post Subsidy Adjustment</t>
  </si>
  <si>
    <t>Optional Revenue Structures (Nominal):</t>
  </si>
  <si>
    <t>Minimum Revenue Guarantee (Optional)</t>
  </si>
  <si>
    <t>Key Financing Assumptions and P3 Scenario:</t>
  </si>
  <si>
    <t>Discounted Cashflow Analysis: Minimum Revenue Guarantee (MRG) Approach</t>
  </si>
  <si>
    <t>DCF Table - Minimum Revenue Guarantee</t>
  </si>
  <si>
    <t>Agency Contribution</t>
  </si>
  <si>
    <t>Base Forecast Revenues</t>
  </si>
  <si>
    <t>Maximum Potential Revenue Guarantee</t>
  </si>
  <si>
    <t>Minimum Revenue Guarantee (MRG)</t>
  </si>
  <si>
    <t>Minimum Revenue Guarantee Amount</t>
  </si>
  <si>
    <t xml:space="preserve">Revenue Structures (Optional): </t>
  </si>
  <si>
    <t>Daily Maximum Capacity per Port (number of  vehicles)</t>
  </si>
  <si>
    <t>Annual Demand Growth Rate Assumption *</t>
  </si>
  <si>
    <t>Total Ongoing Capital/Rehabilitation Costs (NPV)</t>
  </si>
  <si>
    <t>Ongoing Capital/Rehabilitation Costs (Rehabilitation Costs)</t>
  </si>
  <si>
    <t>Value</t>
  </si>
  <si>
    <t>Selection</t>
  </si>
  <si>
    <t>NPV of Operating Income</t>
  </si>
  <si>
    <t>Calculation of Total Operating Income</t>
  </si>
  <si>
    <t>*maximum capacity (number of cars) = 24 hrs / avg charge duration per EV</t>
  </si>
  <si>
    <t>Term Length:</t>
  </si>
  <si>
    <t>Term Length Selector *</t>
  </si>
  <si>
    <t>Model Years</t>
  </si>
  <si>
    <t>Model Year</t>
  </si>
  <si>
    <t>Model Inclusive of Year (Yes/No)</t>
  </si>
  <si>
    <t>Operational Years (Term Length)</t>
  </si>
  <si>
    <t>*Number of operational years (inclusive of year)</t>
  </si>
  <si>
    <t>Additional Returns to the Agency</t>
  </si>
  <si>
    <t>Total Returns to the Agency (Upside Revenue Share + Additional Returns)</t>
  </si>
  <si>
    <t>Total Returns to Agency</t>
  </si>
  <si>
    <t>Ongoing Capital/Rehabilitation Costs *</t>
  </si>
  <si>
    <t>Annual Returns (to be added to upside revenue sharing) •</t>
  </si>
  <si>
    <t>Threshold for Revenues Triggering the Upside Revenue Sharing Mechanism: % of (Base) Forecasted Revenues •</t>
  </si>
  <si>
    <t>Future Value or Compound Factor (1/Discount Factor)</t>
  </si>
  <si>
    <t>NPV of Grants (Milestone/Progress Payments)</t>
  </si>
  <si>
    <t>NPV of Grants (Milestone/Progress Payments) Post Adjustment</t>
  </si>
  <si>
    <t xml:space="preserve">Year Type </t>
  </si>
  <si>
    <t>NPV of MRG</t>
  </si>
  <si>
    <t>*Objective is required rate of return or set discount rate.</t>
  </si>
  <si>
    <t>https://www.transportation.gov/rural/ev/toolkit/ev-basics/charging-speeds#:~:text=DCFC%20equipment%20can%20charge%20a,not%20work%20with%20fast%20chargers.</t>
  </si>
  <si>
    <t>EV Charge Durations</t>
  </si>
  <si>
    <t>Current Forecast Revenues</t>
  </si>
  <si>
    <t>*Discount rate needed to make NPV = 0. If blank, refer to guidebook.</t>
  </si>
  <si>
    <t>*If this value is 100%, then input your average price per kWh in cell C34 below.</t>
  </si>
  <si>
    <r>
      <t xml:space="preserve">Share of Charging During Peak Hours </t>
    </r>
    <r>
      <rPr>
        <i/>
        <sz val="18"/>
        <rFont val="Arial"/>
        <family val="2"/>
      </rPr>
      <t>(if you only have average price/kWh information, input 100%)</t>
    </r>
    <r>
      <rPr>
        <sz val="18"/>
        <rFont val="Arial"/>
        <family val="2"/>
      </rPr>
      <t xml:space="preserve"> *</t>
    </r>
  </si>
  <si>
    <t>Price per kWh (Paid by Customer)</t>
  </si>
  <si>
    <t>*Include total costs of energy for the EVCI in this row (or consolidate into User-Override).</t>
  </si>
  <si>
    <t>IRR</t>
  </si>
  <si>
    <t>Subsidy Overpayment (-) or Underpayment (+) NPV</t>
  </si>
  <si>
    <t>NPV of Govt. Contribution to Meet MRG</t>
  </si>
  <si>
    <t>IRR Before Adjustment</t>
  </si>
  <si>
    <t>Subsidy Overpayment (-) or Underpayment (+)</t>
  </si>
  <si>
    <t>Federal Reimbursement (NPV)</t>
  </si>
  <si>
    <t>Non-Federal Reimbursement (NPV)</t>
  </si>
  <si>
    <t>AP Ratio (NPV of Availability Payments/NPV of Total Eligible Costs)</t>
  </si>
  <si>
    <t>Returns  to Agency (NPV)</t>
  </si>
  <si>
    <t>Total (Eligible) Project Costs (NPV)</t>
  </si>
  <si>
    <t>Revenues (NPV)</t>
  </si>
  <si>
    <t>IRR Before Any Adjustment</t>
  </si>
  <si>
    <t>Grant or Subsidy (NPV) Before Adjustment</t>
  </si>
  <si>
    <t xml:space="preserve">Subsidy (NPV) After Adjustment </t>
  </si>
  <si>
    <t>IRR After Adjustment</t>
  </si>
  <si>
    <t>Optimal Subsidy Adjustment (Overpayment (-) or Underpayment (+))</t>
  </si>
  <si>
    <t>NPV of MRG Post Adjustment (In the Present)</t>
  </si>
  <si>
    <t>*This is assuming a lump sum adjustment in the present phase - it is not the same as the NPV after finding the MRG percentage through trial and error.</t>
  </si>
  <si>
    <t>IRR (Post Subsidy Adjustment in the Present)</t>
  </si>
  <si>
    <t>*2.5% can be used as an escalation factor to reflect targeted US inflation between 2-3%.</t>
  </si>
  <si>
    <t>*You can combine the Annual Demand Growth Rate in Cell C43 (assumed to be 5% but can be set to the user's preference) by the electricity cost growth rate (assumed to be 2.5% on par with US targeted inflation). Combine growth rates = (1.05*1.025) - 1 = 0.076</t>
  </si>
  <si>
    <t>*Revenue sharing is only triggered when the "Optimistic" scenario is chosen in the Revenue Scenario Selector in Cell B28 of the Inputs - Constant Tab.</t>
  </si>
  <si>
    <t>*Federal coverage % up to but not more than 80%.</t>
  </si>
  <si>
    <t>Discounted Payback period (years)</t>
  </si>
  <si>
    <t>*Discounted Payback Period = Years Until Break-Even + (Unrecovered PV at the Start of the Recovery Year/PV of Cash Flow in Recovery Year). If none of the Cumulative Discounted Cash Flows are &gt;=0, then the payback period is not within the scope of this projection.</t>
  </si>
  <si>
    <t>Atlas Public Policy (2023)</t>
  </si>
  <si>
    <t>Federal Reserve Economic Data (2024)</t>
  </si>
  <si>
    <t>Institute of Transportation Studies, University of California, Davis (2023)</t>
  </si>
  <si>
    <t>Statista (2023)</t>
  </si>
  <si>
    <t>U.S. DOT - FHWA (2024)</t>
  </si>
  <si>
    <t>U.S. DOT - FHWA (2023)</t>
  </si>
  <si>
    <t>U.S. DOE - ANL Jobs 1.0 EVSE (2021)</t>
  </si>
  <si>
    <t>BNN Bloomberg (2024)</t>
  </si>
  <si>
    <t>https://www.iea.org/reports/global-ev-outlook-2024/trends-in-electric-cars</t>
  </si>
  <si>
    <t>Information on EV market growth projections (Global and in the US).</t>
  </si>
  <si>
    <t>International Energy Agency (2024)</t>
  </si>
  <si>
    <t>Information on current EV market growth rate (may need membership).</t>
  </si>
  <si>
    <t>Estimate of average utilization of a US fast-charging station (utilization data used in sample demand estimation).</t>
  </si>
  <si>
    <t>National Renewable Energy Laboratory (2023)</t>
  </si>
  <si>
    <t>Presentation on JOBS EVSE 1.0. Estimates the economic impacts of installing EV charging stations.</t>
  </si>
  <si>
    <t>JOBS EVSE 2.0. Estimates the economic impacts of installing EV charging stations.</t>
  </si>
  <si>
    <t>Paper evaluating EV public charging utilization in the US.</t>
  </si>
  <si>
    <t>Evaluating Electric Vehicle Public Charging Utilization in the United States using the EV WATTS Dataset: Preprint (nrel.gov)</t>
  </si>
  <si>
    <t>Argonne National Laboratory (2023)</t>
  </si>
  <si>
    <t>Heavy-duty BEV infrastructure scenario analysis model overview.</t>
  </si>
  <si>
    <t>ANL- HEVISAM EVSE Cost and LCOE - 2303.pdf | Powered by Box</t>
  </si>
  <si>
    <t>EV Connect (2023)</t>
  </si>
  <si>
    <t xml:space="preserve">Information on costs to charge EVs at charging stations. </t>
  </si>
  <si>
    <t>https://www.evconnect.com/blog/ev-charging-costs-at-public-stations</t>
  </si>
  <si>
    <t>https://www.mckinsey.com/features/mckinsey-center-for-future-mobility/our-insights/can-public-ev-fast-charging-stations-be-profitable-in-the-united-states</t>
  </si>
  <si>
    <t>McKinsey &amp; Company (2023)</t>
  </si>
  <si>
    <t>Article outlining EVCI profitability in the US. Contains data on utilization and pricing.</t>
  </si>
  <si>
    <t>*Demand should be estimated in the form of annual visits in the first operational year (Model Year 3)</t>
  </si>
  <si>
    <r>
      <rPr>
        <b/>
        <u/>
        <sz val="20"/>
        <rFont val="Arial"/>
        <family val="2"/>
      </rPr>
      <t>Guidance:</t>
    </r>
    <r>
      <rPr>
        <b/>
        <sz val="18"/>
        <rFont val="Arial"/>
        <family val="2"/>
      </rPr>
      <t xml:space="preserve"> Enter all constant inputs in the 'Inputs - Constant' tab and all time series inputs in the 'Inputs - Time Series' tab. Any cell with a dotted pattern will override the corresponding value(s) in the 'Outputs' tab, as opposed to calculating them manually using the other relevant input cells. A dot next to the cell or category indicates the inputs are optional and should be left blank if you choose not to pursue the relevant calculation. You can adjust the model to display three revenue scenarios: Pessimistic, Baseline, and Optimistic, by inputting revenue multiples for a Pessimistic and Optimistic scenario and using the selector in the 'Inputs - Constant' tab. It should be noted that </t>
    </r>
    <r>
      <rPr>
        <b/>
        <u/>
        <sz val="18"/>
        <rFont val="Arial"/>
        <family val="2"/>
      </rPr>
      <t>any values currently in the tool are provided as examples and are not to be taken as defaults</t>
    </r>
    <r>
      <rPr>
        <b/>
        <sz val="18"/>
        <rFont val="Arial"/>
        <family val="2"/>
      </rPr>
      <t xml:space="preserve">.  Users are responsible for entering project specific information. Results are dependent on data inputs which are the sole responsibility of the user.  All values should be cleared before starting any new scenario.  </t>
    </r>
    <r>
      <rPr>
        <b/>
        <u/>
        <sz val="18"/>
        <rFont val="Arial"/>
        <family val="2"/>
      </rPr>
      <t>This model does not account for taxes and debt financing assumptions, as this tool is geared more towards being an operational model</t>
    </r>
    <r>
      <rPr>
        <b/>
        <sz val="18"/>
        <rFont val="Arial"/>
        <family val="2"/>
      </rPr>
      <t>. To incorporate taxes and debt financing inputs, please consult your finance departement.</t>
    </r>
  </si>
  <si>
    <t>*Note that the tool does not take into consideration debt financing or taxes. It is meant to be an operational tool.</t>
  </si>
  <si>
    <t>Symbols</t>
  </si>
  <si>
    <t>Data Types</t>
  </si>
  <si>
    <t>User Override</t>
  </si>
  <si>
    <t>-</t>
  </si>
  <si>
    <t>Revenue Scenario Selector *</t>
  </si>
  <si>
    <t>P3 Scenario Selector*</t>
  </si>
  <si>
    <t>Construction Year 1</t>
  </si>
  <si>
    <t>Construction Year 2</t>
  </si>
  <si>
    <t>Operations Year 1</t>
  </si>
  <si>
    <t>Operations Year 2</t>
  </si>
  <si>
    <t>Operations Year 3</t>
  </si>
  <si>
    <t>Operations Year 4</t>
  </si>
  <si>
    <t>Operations Year 5</t>
  </si>
  <si>
    <t>Operations Year 6</t>
  </si>
  <si>
    <t>Operations Year 7</t>
  </si>
  <si>
    <t>Operations Year 8</t>
  </si>
  <si>
    <t>Operations Year 9</t>
  </si>
  <si>
    <t>Operations Year 10</t>
  </si>
  <si>
    <t>Total O&amp;M Cost + Returns to the Agency (NPV)</t>
  </si>
  <si>
    <t>O&amp;M Costs + Returns to the Agency in the Operations Phase (if applicable)</t>
  </si>
  <si>
    <t>*This could be lease payments, in which case the payments should be entered as costs in the Operations and Maintenance Costs in this tab as well.</t>
  </si>
  <si>
    <r>
      <t xml:space="preserve">Total </t>
    </r>
    <r>
      <rPr>
        <b/>
        <sz val="18"/>
        <color theme="1"/>
        <rFont val="Arial"/>
        <family val="2"/>
      </rPr>
      <t>Eligible</t>
    </r>
    <r>
      <rPr>
        <sz val="18"/>
        <color theme="1"/>
        <rFont val="Arial"/>
        <family val="2"/>
      </rPr>
      <t xml:space="preserve"> O&amp;M and Ongoing Capital/Rehabilitation Costs (including returns to agency, if applicable)</t>
    </r>
  </si>
  <si>
    <r>
      <t xml:space="preserve">Total </t>
    </r>
    <r>
      <rPr>
        <b/>
        <sz val="18"/>
        <color theme="1"/>
        <rFont val="Arial"/>
        <family val="2"/>
      </rPr>
      <t>Eligible</t>
    </r>
    <r>
      <rPr>
        <sz val="18"/>
        <color theme="1"/>
        <rFont val="Arial"/>
        <family val="2"/>
      </rPr>
      <t xml:space="preserve"> O&amp;M and Ongoing Capital/Rehabilitation Costs (inlcuding returns to agency, if applicable)</t>
    </r>
  </si>
  <si>
    <t>Planning and Construction Year 0</t>
  </si>
  <si>
    <t>Planning and Construction Year 1</t>
  </si>
  <si>
    <t>Planning and Construction Year 2</t>
  </si>
  <si>
    <t>Operational Year 3</t>
  </si>
  <si>
    <t>Operational Year 4</t>
  </si>
  <si>
    <t>Operational Year 5</t>
  </si>
  <si>
    <t>Operational Year 6</t>
  </si>
  <si>
    <t>Operational Year 7</t>
  </si>
  <si>
    <t>Operational Year 8</t>
  </si>
  <si>
    <t>Operational Year 9</t>
  </si>
  <si>
    <t>Operational Year 10</t>
  </si>
  <si>
    <t>Operational Year 11</t>
  </si>
  <si>
    <t>Operational Year 12</t>
  </si>
  <si>
    <t xml:space="preserve">Operational Year 6 </t>
  </si>
  <si>
    <t xml:space="preserve">The purpose of this section is for the user to get more informed on the costs and economic impacts associated with EVCI. </t>
  </si>
  <si>
    <t>The resources are offered as a starting point for research and users are encouraged to exercise their own judgement in evaluating the suitability of these sources.</t>
  </si>
  <si>
    <r>
      <rPr>
        <b/>
        <u/>
        <sz val="24"/>
        <rFont val="Arial"/>
        <family val="2"/>
      </rPr>
      <t>About:</t>
    </r>
    <r>
      <rPr>
        <b/>
        <sz val="24"/>
        <rFont val="Arial"/>
        <family val="2"/>
      </rPr>
      <t xml:space="preserve"> This Excel based tool helps assist State and local responsible parties in assessing the financial outcomes of Electric Vehicle Infrastructure projects using P3 with a preliminary financial model. The tool provides guidance towards the best partnership model to achieve their goals.</t>
    </r>
  </si>
  <si>
    <t>This sheet contains inputs for initial costs, revenues, demand, the discount rate, and escalation factors.</t>
  </si>
  <si>
    <t xml:space="preserve">User can enter a custom value in the User Override cell. This will disable the pre-populated value in the worksheet. </t>
  </si>
  <si>
    <t>ID</t>
  </si>
  <si>
    <t>(User to enter)</t>
  </si>
  <si>
    <t>California DOT EVCI P3 Test: Run 1 (Baseline Multiple Revenue Scenario)</t>
  </si>
  <si>
    <t xml:space="preserve"> - </t>
  </si>
  <si>
    <t>1. Pre-Construction and Other Costs *</t>
  </si>
  <si>
    <t>2. Implementation Costs</t>
  </si>
  <si>
    <t>2a. Utility *</t>
  </si>
  <si>
    <t>2b. Make-Ready Infrastructure Cost *</t>
  </si>
  <si>
    <t>2c. EVSE *</t>
  </si>
  <si>
    <t>1. Operations Cost (Breakdown)</t>
  </si>
  <si>
    <t>1a.Lease *</t>
  </si>
  <si>
    <t>1b. Energy Used by Station *</t>
  </si>
  <si>
    <t>1c. Equipment and Other Site Maintenance *</t>
  </si>
  <si>
    <t>2. Fixed Charging Fee and Subscription Fee *</t>
  </si>
  <si>
    <t>3. Price per kWh *</t>
  </si>
  <si>
    <t>4. Other Revenues (advertising, other private sector partners on site, etc.) *</t>
  </si>
  <si>
    <t>1a. Lease *</t>
  </si>
  <si>
    <t>2. Operations Cost (Own Values) *</t>
  </si>
  <si>
    <t>1. Market Estimate Demand</t>
  </si>
  <si>
    <t>1a. Estimated Demand (Number of Visits)</t>
  </si>
  <si>
    <t>1b. Estimated Demand - User Override *</t>
  </si>
  <si>
    <t>1c. Average Energy Sold per Charging Session (kWh) *</t>
  </si>
  <si>
    <t>2. Fees and Subscription Revenues (if applicable) •</t>
  </si>
  <si>
    <t>3. Other Revenues (advertising, other private sector partners on site, etc.) •</t>
  </si>
  <si>
    <t>4. Total Calculated Revenues (varies based on revenue scenario)</t>
  </si>
  <si>
    <t>5. Revenue Estimate - Own Values (Override) *</t>
  </si>
  <si>
    <t>User Override (refer to last cell)</t>
  </si>
  <si>
    <t>Planning Year 0</t>
  </si>
  <si>
    <t>No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</si>
</sst>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0.00000"/>
    <numFmt numFmtId="165" formatCode="_([$$-409]* #,##0.00_);_([$$-409]* \(#,##0.00\);_([$$-409]* &quot;-&quot;??_);_(@_)"/>
    <numFmt numFmtId="166" formatCode="&quot;$&quot;#,##0.00"/>
    <numFmt numFmtId="167" formatCode="&quot;$&quot;#,##0"/>
    <numFmt numFmtId="168" formatCode="0.0"/>
    <numFmt numFmtId="169" formatCode="_(* #,##0_);_(* \(#,##0\);_(* &quot;-&quot;??_);_(@_)"/>
    <numFmt numFmtId="170" formatCode="&quot;*&quot;\ &quot;$&quot;#,##0"/>
    <numFmt numFmtId="171" formatCode="&quot;*&quot;\ 0%"/>
    <numFmt numFmtId="172" formatCode="&quot;*&quot;\ General"/>
    <numFmt numFmtId="173" formatCode="&quot;*&quot;\ &quot;$&quot;#,##0.00"/>
    <numFmt numFmtId="174" formatCode="&quot;*&quot;\ 0.0%"/>
    <numFmt numFmtId="175" formatCode="&quot;*&quot;\ 0.00%"/>
    <numFmt numFmtId="176" formatCode="&quot;* &quot;&quot;$&quot;#,##0"/>
    <numFmt numFmtId="177" formatCode="&quot;* &quot;General"/>
    <numFmt numFmtId="178" formatCode="&quot;• &quot;\ &quot;$&quot;#,##0"/>
    <numFmt numFmtId="179" formatCode="&quot;• &quot;\ 0%"/>
    <numFmt numFmtId="180" formatCode="0.00000%"/>
    <numFmt numFmtId="181" formatCode="0.0000%"/>
  </numFmts>
  <fonts count="52" x14ac:knownFonts="1">
    <font>
      <sz val="11"/>
      <color theme="1"/>
      <name val="Calibri"/>
      <family val="2"/>
      <scheme val="minor"/>
    </font>
    <font>
      <sz val="11"/>
      <color theme="1"/>
      <name val="Calibri"/>
      <family val="2"/>
      <scheme val="minor"/>
    </font>
    <font>
      <b/>
      <sz val="11"/>
      <color rgb="FFFA7D00"/>
      <name val="Calibri"/>
      <family val="2"/>
      <scheme val="minor"/>
    </font>
    <font>
      <sz val="8"/>
      <name val="Calibri"/>
      <family val="2"/>
      <scheme val="minor"/>
    </font>
    <font>
      <sz val="18"/>
      <color theme="1"/>
      <name val="Arial"/>
      <family val="2"/>
    </font>
    <font>
      <b/>
      <sz val="18"/>
      <color theme="1"/>
      <name val="Arial"/>
      <family val="2"/>
    </font>
    <font>
      <sz val="18"/>
      <name val="Arial"/>
      <family val="2"/>
    </font>
    <font>
      <sz val="18"/>
      <color theme="1"/>
      <name val="Gill Sans MT"/>
      <family val="2"/>
    </font>
    <font>
      <sz val="24"/>
      <name val="Gill Sans MT"/>
      <family val="2"/>
    </font>
    <font>
      <b/>
      <sz val="18"/>
      <color theme="1"/>
      <name val="Gill Sans MT"/>
      <family val="2"/>
    </font>
    <font>
      <sz val="18"/>
      <color indexed="16"/>
      <name val="Arial"/>
      <family val="2"/>
    </font>
    <font>
      <sz val="18"/>
      <color theme="5"/>
      <name val="Arial"/>
      <family val="2"/>
    </font>
    <font>
      <sz val="18"/>
      <color rgb="FFC00000"/>
      <name val="Arial"/>
      <family val="2"/>
    </font>
    <font>
      <b/>
      <sz val="18"/>
      <color theme="0"/>
      <name val="Arial"/>
      <family val="2"/>
    </font>
    <font>
      <u/>
      <sz val="11"/>
      <color theme="10"/>
      <name val="Calibri"/>
      <family val="2"/>
      <scheme val="minor"/>
    </font>
    <font>
      <u/>
      <sz val="18"/>
      <color theme="10"/>
      <name val="Arial"/>
      <family val="2"/>
    </font>
    <font>
      <b/>
      <sz val="18"/>
      <color rgb="FF002060"/>
      <name val="Arial"/>
      <family val="2"/>
    </font>
    <font>
      <u/>
      <sz val="18"/>
      <color theme="10"/>
      <name val="Calibri"/>
      <family val="2"/>
      <scheme val="minor"/>
    </font>
    <font>
      <b/>
      <sz val="18"/>
      <name val="Arial"/>
      <family val="2"/>
    </font>
    <font>
      <b/>
      <sz val="24"/>
      <color theme="1"/>
      <name val="Calibri"/>
      <family val="2"/>
      <scheme val="minor"/>
    </font>
    <font>
      <b/>
      <sz val="16"/>
      <name val="Arial"/>
      <family val="2"/>
    </font>
    <font>
      <b/>
      <sz val="18"/>
      <name val="Gill Sans MT"/>
      <family val="2"/>
    </font>
    <font>
      <sz val="11"/>
      <name val="Calibri"/>
      <family val="2"/>
      <scheme val="minor"/>
    </font>
    <font>
      <sz val="18"/>
      <name val="Gill Sans MT"/>
      <family val="2"/>
    </font>
    <font>
      <i/>
      <sz val="18"/>
      <name val="Arial"/>
      <family val="2"/>
    </font>
    <font>
      <b/>
      <u/>
      <sz val="18"/>
      <name val="Arial"/>
      <family val="2"/>
    </font>
    <font>
      <sz val="16"/>
      <color theme="1"/>
      <name val="Arial"/>
      <family val="2"/>
    </font>
    <font>
      <sz val="18"/>
      <color rgb="FFFF0000"/>
      <name val="Arial"/>
      <family val="2"/>
    </font>
    <font>
      <i/>
      <sz val="18"/>
      <color theme="1"/>
      <name val="Arial"/>
      <family val="2"/>
    </font>
    <font>
      <i/>
      <sz val="18"/>
      <color rgb="FFFF0000"/>
      <name val="Arial"/>
      <family val="2"/>
    </font>
    <font>
      <b/>
      <sz val="14"/>
      <name val="Gill Sans MT"/>
      <family val="2"/>
    </font>
    <font>
      <b/>
      <i/>
      <sz val="18"/>
      <color rgb="FFFF0000"/>
      <name val="Arial"/>
      <family val="2"/>
    </font>
    <font>
      <i/>
      <u/>
      <sz val="18"/>
      <name val="Arial"/>
      <family val="2"/>
    </font>
    <font>
      <sz val="36"/>
      <name val="Arial"/>
      <family val="2"/>
    </font>
    <font>
      <sz val="24"/>
      <name val="Aptos Narrow"/>
      <family val="2"/>
    </font>
    <font>
      <b/>
      <i/>
      <sz val="18"/>
      <name val="Arial"/>
      <family val="2"/>
    </font>
    <font>
      <b/>
      <u/>
      <sz val="20"/>
      <name val="Arial"/>
      <family val="2"/>
    </font>
    <font>
      <b/>
      <sz val="36"/>
      <color theme="1"/>
      <name val="Arial"/>
      <family val="2"/>
    </font>
    <font>
      <sz val="24"/>
      <name val="Arial"/>
      <family val="2"/>
    </font>
    <font>
      <sz val="11"/>
      <color theme="1"/>
      <name val="Arial"/>
      <family val="2"/>
    </font>
    <font>
      <b/>
      <i/>
      <sz val="36"/>
      <color theme="1"/>
      <name val="Arial"/>
      <family val="2"/>
    </font>
    <font>
      <b/>
      <sz val="20"/>
      <name val="Arial"/>
      <family val="2"/>
    </font>
    <font>
      <b/>
      <sz val="22"/>
      <name val="Arial"/>
      <family val="2"/>
    </font>
    <font>
      <b/>
      <sz val="24"/>
      <color theme="0"/>
      <name val="Arial"/>
      <family val="2"/>
    </font>
    <font>
      <b/>
      <u/>
      <sz val="24"/>
      <color theme="1"/>
      <name val="Arial"/>
      <family val="2"/>
    </font>
    <font>
      <b/>
      <u/>
      <sz val="22"/>
      <color theme="1"/>
      <name val="Arial"/>
      <family val="2"/>
    </font>
    <font>
      <sz val="24"/>
      <color theme="1"/>
      <name val="Arial"/>
      <family val="2"/>
    </font>
    <font>
      <b/>
      <sz val="24"/>
      <name val="Arial"/>
      <family val="2"/>
    </font>
    <font>
      <b/>
      <u/>
      <sz val="24"/>
      <name val="Arial"/>
      <family val="2"/>
    </font>
    <font>
      <b/>
      <sz val="36"/>
      <color theme="0"/>
      <name val="Arial"/>
      <family val="2"/>
    </font>
    <font>
      <b/>
      <sz val="22"/>
      <color rgb="FF000000"/>
      <name val="Arial"/>
      <family val="2"/>
    </font>
    <font>
      <i/>
      <sz val="16"/>
      <name val="Arial"/>
      <family val="2"/>
    </font>
  </fonts>
  <fills count="13">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5" tint="0.59999389629810485"/>
        <bgColor indexed="64"/>
      </patternFill>
    </fill>
    <fill>
      <patternFill patternType="gray0625"/>
    </fill>
    <fill>
      <patternFill patternType="solid">
        <fgColor indexed="65"/>
        <bgColor indexed="64"/>
      </patternFill>
    </fill>
    <fill>
      <patternFill patternType="solid">
        <fgColor theme="7" tint="-0.499984740745262"/>
        <bgColor indexed="64"/>
      </patternFill>
    </fill>
    <fill>
      <patternFill patternType="darkUp"/>
    </fill>
  </fills>
  <borders count="21">
    <border>
      <left/>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s>
  <cellStyleXfs count="12">
    <xf numFmtId="0" fontId="0" fillId="0" borderId="0"/>
    <xf numFmtId="0" fontId="2" fillId="2" borderId="1" applyNumberFormat="0" applyAlignment="0" applyProtection="0"/>
    <xf numFmtId="0" fontId="1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7" fillId="0" borderId="0" applyNumberFormat="0" applyFill="0" applyAlignment="0" applyProtection="0"/>
    <xf numFmtId="0" fontId="44" fillId="0" borderId="0" applyNumberFormat="0" applyFill="0" applyAlignment="0" applyProtection="0"/>
    <xf numFmtId="0" fontId="43" fillId="6" borderId="0" applyNumberFormat="0" applyAlignment="0" applyProtection="0"/>
    <xf numFmtId="0" fontId="43" fillId="11" borderId="0" applyNumberFormat="0" applyBorder="0" applyAlignment="0" applyProtection="0"/>
    <xf numFmtId="0" fontId="45" fillId="0" borderId="0" applyNumberFormat="0" applyAlignment="0" applyProtection="0"/>
    <xf numFmtId="0" fontId="41" fillId="0" borderId="0" applyNumberFormat="0" applyAlignment="0" applyProtection="0">
      <alignment horizontal="center"/>
    </xf>
  </cellStyleXfs>
  <cellXfs count="40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center"/>
    </xf>
    <xf numFmtId="0" fontId="13" fillId="6" borderId="0" xfId="0" applyFont="1" applyFill="1"/>
    <xf numFmtId="0" fontId="4" fillId="6" borderId="0" xfId="0" applyFont="1" applyFill="1"/>
    <xf numFmtId="0" fontId="4" fillId="6" borderId="0" xfId="0" applyFont="1" applyFill="1" applyAlignment="1">
      <alignment horizontal="center"/>
    </xf>
    <xf numFmtId="0" fontId="7" fillId="0" borderId="0" xfId="0" applyFont="1" applyAlignment="1" applyProtection="1">
      <alignment horizontal="left" vertical="center" wrapText="1"/>
      <protection locked="0"/>
    </xf>
    <xf numFmtId="2" fontId="11" fillId="0" borderId="0" xfId="1" applyNumberFormat="1" applyFont="1" applyFill="1" applyBorder="1" applyAlignment="1" applyProtection="1">
      <alignment horizontal="right"/>
    </xf>
    <xf numFmtId="0" fontId="4" fillId="6" borderId="0" xfId="0" applyFont="1" applyFill="1" applyAlignment="1">
      <alignment vertical="center"/>
    </xf>
    <xf numFmtId="2" fontId="12" fillId="0" borderId="0" xfId="0" applyNumberFormat="1" applyFont="1" applyAlignment="1">
      <alignment horizontal="center"/>
    </xf>
    <xf numFmtId="0" fontId="4" fillId="3" borderId="0" xfId="0" applyFont="1" applyFill="1"/>
    <xf numFmtId="0" fontId="6" fillId="3" borderId="0" xfId="0" applyFont="1" applyFill="1"/>
    <xf numFmtId="0" fontId="18" fillId="3" borderId="0" xfId="0" applyFont="1" applyFill="1"/>
    <xf numFmtId="0" fontId="4" fillId="3" borderId="4" xfId="0" applyFont="1" applyFill="1" applyBorder="1" applyAlignment="1">
      <alignment vertical="top" wrapText="1"/>
    </xf>
    <xf numFmtId="14" fontId="18" fillId="3" borderId="0" xfId="0" applyNumberFormat="1" applyFont="1" applyFill="1" applyAlignment="1">
      <alignment horizontal="left"/>
    </xf>
    <xf numFmtId="0" fontId="6" fillId="0" borderId="0" xfId="0" applyFont="1"/>
    <xf numFmtId="0" fontId="18" fillId="0" borderId="0" xfId="0" applyFont="1"/>
    <xf numFmtId="0" fontId="6" fillId="0" borderId="0" xfId="0" applyFont="1" applyAlignment="1">
      <alignment horizontal="center"/>
    </xf>
    <xf numFmtId="2" fontId="6" fillId="0" borderId="0" xfId="0" applyNumberFormat="1" applyFont="1" applyAlignment="1">
      <alignment horizontal="center"/>
    </xf>
    <xf numFmtId="0" fontId="6" fillId="0" borderId="0" xfId="0" applyFont="1" applyAlignment="1">
      <alignment wrapText="1"/>
    </xf>
    <xf numFmtId="2" fontId="18" fillId="0" borderId="0" xfId="0" applyNumberFormat="1" applyFont="1" applyAlignment="1">
      <alignment horizontal="center"/>
    </xf>
    <xf numFmtId="2" fontId="6" fillId="0" borderId="0" xfId="0" applyNumberFormat="1" applyFont="1"/>
    <xf numFmtId="2" fontId="6" fillId="0" borderId="0" xfId="1" applyNumberFormat="1" applyFont="1" applyFill="1" applyBorder="1" applyAlignment="1" applyProtection="1">
      <alignment horizontal="right"/>
    </xf>
    <xf numFmtId="2" fontId="6" fillId="0" borderId="0" xfId="0" applyNumberFormat="1" applyFont="1" applyAlignment="1">
      <alignment horizontal="left" vertical="center"/>
    </xf>
    <xf numFmtId="0" fontId="18" fillId="4" borderId="4" xfId="0" applyFont="1" applyFill="1" applyBorder="1" applyAlignment="1">
      <alignment horizontal="left" vertical="center"/>
    </xf>
    <xf numFmtId="0" fontId="18" fillId="4" borderId="4" xfId="0" applyFont="1" applyFill="1" applyBorder="1" applyAlignment="1">
      <alignment vertical="center"/>
    </xf>
    <xf numFmtId="0" fontId="6" fillId="4" borderId="4" xfId="0" applyFont="1" applyFill="1" applyBorder="1" applyAlignment="1">
      <alignment horizontal="left" vertical="center" indent="3"/>
    </xf>
    <xf numFmtId="165" fontId="24" fillId="0" borderId="0" xfId="3" applyNumberFormat="1" applyFont="1" applyFill="1" applyBorder="1" applyAlignment="1">
      <alignment horizontal="left"/>
    </xf>
    <xf numFmtId="0" fontId="24" fillId="0" borderId="0" xfId="0" applyFont="1"/>
    <xf numFmtId="0" fontId="24" fillId="0" borderId="0" xfId="0" applyFont="1" applyAlignment="1">
      <alignment horizontal="center"/>
    </xf>
    <xf numFmtId="0" fontId="18" fillId="4" borderId="4" xfId="0" applyFont="1" applyFill="1" applyBorder="1" applyAlignment="1">
      <alignment horizontal="left" vertical="center" wrapText="1"/>
    </xf>
    <xf numFmtId="166" fontId="18" fillId="0" borderId="0" xfId="3" applyNumberFormat="1" applyFont="1" applyFill="1" applyBorder="1" applyAlignment="1">
      <alignment horizontal="center"/>
    </xf>
    <xf numFmtId="0" fontId="26" fillId="0" borderId="0" xfId="0" applyFont="1" applyAlignment="1">
      <alignment horizontal="center"/>
    </xf>
    <xf numFmtId="0" fontId="6" fillId="0" borderId="0" xfId="0" applyFont="1" applyAlignment="1">
      <alignment horizontal="left" vertical="center"/>
    </xf>
    <xf numFmtId="0" fontId="6" fillId="4" borderId="4" xfId="0" applyFont="1" applyFill="1" applyBorder="1" applyAlignment="1">
      <alignment horizontal="left" vertical="center"/>
    </xf>
    <xf numFmtId="0" fontId="4" fillId="4" borderId="4" xfId="0" applyFont="1" applyFill="1" applyBorder="1" applyAlignment="1">
      <alignment horizontal="left" vertical="center" wrapText="1"/>
    </xf>
    <xf numFmtId="0" fontId="24" fillId="0" borderId="0" xfId="0" applyFont="1" applyAlignment="1">
      <alignment horizontal="left"/>
    </xf>
    <xf numFmtId="0" fontId="6" fillId="4" borderId="4" xfId="0" applyFont="1" applyFill="1" applyBorder="1" applyAlignment="1">
      <alignment horizontal="left" vertical="center" wrapText="1"/>
    </xf>
    <xf numFmtId="0" fontId="24" fillId="0" borderId="0" xfId="0" applyFont="1" applyAlignment="1">
      <alignment horizontal="left" vertical="center"/>
    </xf>
    <xf numFmtId="0" fontId="13" fillId="0" borderId="0" xfId="0" applyFont="1"/>
    <xf numFmtId="0" fontId="6" fillId="4" borderId="4" xfId="0" applyFont="1" applyFill="1" applyBorder="1" applyAlignment="1">
      <alignment horizontal="left" vertical="center" wrapText="1" indent="3"/>
    </xf>
    <xf numFmtId="0" fontId="18" fillId="3" borderId="0" xfId="0" applyFont="1" applyFill="1" applyAlignment="1">
      <alignment horizontal="left" vertical="top" wrapText="1"/>
    </xf>
    <xf numFmtId="0" fontId="24" fillId="0" borderId="0" xfId="0" applyFont="1" applyAlignment="1">
      <alignment horizontal="left" wrapText="1"/>
    </xf>
    <xf numFmtId="166" fontId="6" fillId="0" borderId="0" xfId="0" applyNumberFormat="1" applyFont="1" applyAlignment="1">
      <alignment horizontal="right" vertical="center" wrapText="1"/>
    </xf>
    <xf numFmtId="166" fontId="6" fillId="0" borderId="0" xfId="0" applyNumberFormat="1" applyFont="1" applyAlignment="1">
      <alignment horizontal="right" vertical="center"/>
    </xf>
    <xf numFmtId="0" fontId="18" fillId="3" borderId="0" xfId="0" applyFont="1" applyFill="1" applyAlignment="1">
      <alignment vertical="top" wrapText="1"/>
    </xf>
    <xf numFmtId="0" fontId="6" fillId="3" borderId="0" xfId="0" applyFont="1" applyFill="1" applyAlignment="1">
      <alignment horizontal="left" vertical="center"/>
    </xf>
    <xf numFmtId="0" fontId="27" fillId="0" borderId="0" xfId="0" applyFont="1"/>
    <xf numFmtId="2" fontId="24" fillId="0" borderId="0" xfId="0" applyNumberFormat="1" applyFont="1" applyAlignment="1">
      <alignment horizontal="left" vertical="center"/>
    </xf>
    <xf numFmtId="2" fontId="24" fillId="0" borderId="0" xfId="0" applyNumberFormat="1" applyFont="1" applyAlignment="1">
      <alignment horizontal="left" wrapText="1"/>
    </xf>
    <xf numFmtId="0" fontId="6" fillId="4" borderId="10" xfId="0" applyFont="1" applyFill="1" applyBorder="1" applyAlignment="1">
      <alignment horizontal="left" vertical="center" wrapText="1"/>
    </xf>
    <xf numFmtId="2" fontId="24" fillId="0" borderId="0" xfId="0" applyNumberFormat="1" applyFont="1" applyAlignment="1">
      <alignment vertical="center"/>
    </xf>
    <xf numFmtId="0" fontId="29" fillId="3" borderId="0" xfId="0" applyFont="1" applyFill="1"/>
    <xf numFmtId="0" fontId="31" fillId="3" borderId="0" xfId="0" applyFont="1" applyFill="1" applyAlignment="1">
      <alignment horizontal="left" vertical="top"/>
    </xf>
    <xf numFmtId="1" fontId="18" fillId="0" borderId="0" xfId="3" applyNumberFormat="1" applyFont="1" applyFill="1" applyBorder="1" applyAlignment="1">
      <alignment horizontal="right" vertical="center"/>
    </xf>
    <xf numFmtId="1" fontId="6" fillId="0" borderId="0" xfId="0" applyNumberFormat="1" applyFont="1" applyAlignment="1">
      <alignment horizontal="right" vertical="center"/>
    </xf>
    <xf numFmtId="2" fontId="24" fillId="0" borderId="0" xfId="0" applyNumberFormat="1" applyFont="1"/>
    <xf numFmtId="0" fontId="18" fillId="4" borderId="10" xfId="0" applyFont="1" applyFill="1" applyBorder="1" applyAlignment="1">
      <alignment horizontal="left" vertical="center" wrapText="1"/>
    </xf>
    <xf numFmtId="167" fontId="6" fillId="0" borderId="0" xfId="0" applyNumberFormat="1" applyFont="1" applyAlignment="1">
      <alignment horizontal="right" vertical="center"/>
    </xf>
    <xf numFmtId="0" fontId="18" fillId="4" borderId="10" xfId="0" applyFont="1" applyFill="1" applyBorder="1" applyAlignment="1">
      <alignment horizontal="left" vertical="center"/>
    </xf>
    <xf numFmtId="9" fontId="6" fillId="0" borderId="0" xfId="4" applyFont="1" applyFill="1" applyBorder="1" applyAlignment="1">
      <alignment horizontal="right" vertical="center"/>
    </xf>
    <xf numFmtId="168" fontId="24" fillId="0" borderId="0" xfId="0" applyNumberFormat="1" applyFont="1" applyAlignment="1">
      <alignment horizontal="left"/>
    </xf>
    <xf numFmtId="167" fontId="24" fillId="10" borderId="4" xfId="3" applyNumberFormat="1" applyFont="1" applyFill="1" applyBorder="1" applyAlignment="1">
      <alignment horizontal="right" vertical="center"/>
    </xf>
    <xf numFmtId="167" fontId="24" fillId="0" borderId="4" xfId="0" applyNumberFormat="1" applyFont="1" applyBorder="1" applyAlignment="1">
      <alignment horizontal="right" vertical="center"/>
    </xf>
    <xf numFmtId="167" fontId="24" fillId="0" borderId="10" xfId="0" applyNumberFormat="1" applyFont="1" applyBorder="1" applyAlignment="1">
      <alignment horizontal="right" vertical="center"/>
    </xf>
    <xf numFmtId="1" fontId="24" fillId="0" borderId="10" xfId="3" applyNumberFormat="1" applyFont="1" applyFill="1" applyBorder="1" applyAlignment="1">
      <alignment horizontal="right" vertical="center"/>
    </xf>
    <xf numFmtId="0" fontId="24" fillId="0" borderId="4" xfId="0" applyFont="1" applyBorder="1" applyAlignment="1">
      <alignment horizontal="right" vertical="center"/>
    </xf>
    <xf numFmtId="2" fontId="30" fillId="0" borderId="0" xfId="1" applyNumberFormat="1" applyFont="1" applyFill="1" applyBorder="1" applyAlignment="1" applyProtection="1">
      <alignment horizontal="center" vertical="center" wrapText="1"/>
    </xf>
    <xf numFmtId="0" fontId="4" fillId="11" borderId="0" xfId="0" applyFont="1" applyFill="1" applyAlignment="1">
      <alignment vertical="center"/>
    </xf>
    <xf numFmtId="0" fontId="4" fillId="11" borderId="0" xfId="0" applyFont="1" applyFill="1"/>
    <xf numFmtId="0" fontId="40" fillId="3" borderId="0" xfId="0" applyFont="1" applyFill="1"/>
    <xf numFmtId="0" fontId="5" fillId="4" borderId="4" xfId="0" applyFont="1" applyFill="1" applyBorder="1"/>
    <xf numFmtId="179" fontId="6" fillId="0" borderId="0" xfId="4" applyNumberFormat="1" applyFont="1" applyFill="1" applyBorder="1" applyAlignment="1">
      <alignment horizontal="right" vertical="center"/>
    </xf>
    <xf numFmtId="170" fontId="18" fillId="0" borderId="4" xfId="3" applyNumberFormat="1" applyFont="1" applyFill="1" applyBorder="1" applyAlignment="1" applyProtection="1">
      <alignment horizontal="right" vertical="center"/>
      <protection locked="0"/>
    </xf>
    <xf numFmtId="170" fontId="6" fillId="0" borderId="4" xfId="3" applyNumberFormat="1" applyFont="1" applyFill="1" applyBorder="1" applyAlignment="1" applyProtection="1">
      <alignment horizontal="right" vertical="center"/>
      <protection locked="0"/>
    </xf>
    <xf numFmtId="171" fontId="6" fillId="0" borderId="4" xfId="4" applyNumberFormat="1" applyFont="1" applyFill="1" applyBorder="1" applyAlignment="1" applyProtection="1">
      <alignment horizontal="right" vertical="center"/>
      <protection locked="0"/>
    </xf>
    <xf numFmtId="173" fontId="6" fillId="0" borderId="4" xfId="3" applyNumberFormat="1" applyFont="1" applyFill="1" applyBorder="1" applyAlignment="1" applyProtection="1">
      <alignment horizontal="right" vertical="center"/>
      <protection locked="0"/>
    </xf>
    <xf numFmtId="172" fontId="6" fillId="0" borderId="4" xfId="0" applyNumberFormat="1" applyFont="1" applyBorder="1" applyAlignment="1" applyProtection="1">
      <alignment horizontal="right" vertical="center"/>
      <protection locked="0"/>
    </xf>
    <xf numFmtId="175" fontId="6" fillId="0" borderId="4" xfId="4" applyNumberFormat="1" applyFont="1" applyFill="1" applyBorder="1" applyAlignment="1" applyProtection="1">
      <alignment horizontal="right" vertical="center"/>
      <protection locked="0"/>
    </xf>
    <xf numFmtId="174" fontId="6" fillId="0" borderId="4" xfId="4" applyNumberFormat="1" applyFont="1" applyFill="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6" fontId="6" fillId="0" borderId="4" xfId="3" applyNumberFormat="1" applyFont="1" applyFill="1" applyBorder="1" applyAlignment="1" applyProtection="1">
      <alignment horizontal="right" vertical="center"/>
      <protection locked="0"/>
    </xf>
    <xf numFmtId="169" fontId="24" fillId="0" borderId="4" xfId="5" applyNumberFormat="1" applyFont="1" applyFill="1" applyBorder="1" applyAlignment="1" applyProtection="1">
      <alignment horizontal="right" vertical="center"/>
    </xf>
    <xf numFmtId="177" fontId="6" fillId="0" borderId="4" xfId="0" applyNumberFormat="1" applyFont="1" applyBorder="1" applyAlignment="1" applyProtection="1">
      <alignment horizontal="right" vertical="center"/>
      <protection locked="0"/>
    </xf>
    <xf numFmtId="178" fontId="6" fillId="0" borderId="10" xfId="0" applyNumberFormat="1" applyFont="1" applyBorder="1" applyAlignment="1" applyProtection="1">
      <alignment horizontal="right" vertical="center"/>
      <protection locked="0"/>
    </xf>
    <xf numFmtId="179" fontId="6" fillId="0" borderId="4" xfId="4" applyNumberFormat="1" applyFont="1" applyFill="1" applyBorder="1" applyAlignment="1" applyProtection="1">
      <alignment horizontal="right" vertical="center"/>
      <protection locked="0"/>
    </xf>
    <xf numFmtId="2" fontId="18" fillId="0" borderId="6" xfId="0" applyNumberFormat="1" applyFont="1" applyBorder="1" applyAlignment="1" applyProtection="1">
      <alignment horizontal="left" vertical="center" wrapText="1"/>
      <protection locked="0"/>
    </xf>
    <xf numFmtId="0" fontId="18" fillId="0" borderId="6" xfId="0" applyFont="1" applyBorder="1" applyAlignment="1" applyProtection="1">
      <alignment horizontal="left" vertical="center"/>
      <protection locked="0"/>
    </xf>
    <xf numFmtId="10" fontId="24" fillId="0" borderId="0" xfId="4" applyNumberFormat="1" applyFont="1" applyBorder="1" applyAlignment="1">
      <alignment horizontal="right" vertical="center"/>
    </xf>
    <xf numFmtId="10" fontId="24" fillId="0" borderId="2" xfId="4" applyNumberFormat="1" applyFont="1" applyBorder="1" applyAlignment="1">
      <alignment horizontal="right" vertical="center"/>
    </xf>
    <xf numFmtId="2" fontId="18" fillId="12" borderId="4" xfId="0" applyNumberFormat="1" applyFont="1" applyFill="1" applyBorder="1" applyAlignment="1">
      <alignment horizontal="left"/>
    </xf>
    <xf numFmtId="0" fontId="6" fillId="0" borderId="4" xfId="0" applyFont="1" applyBorder="1"/>
    <xf numFmtId="0" fontId="6" fillId="0" borderId="4" xfId="5" applyNumberFormat="1" applyFont="1" applyFill="1" applyBorder="1" applyAlignment="1" applyProtection="1">
      <alignment horizontal="right" vertical="center"/>
      <protection locked="0"/>
    </xf>
    <xf numFmtId="0" fontId="24" fillId="0" borderId="2" xfId="0" applyFont="1" applyBorder="1" applyAlignment="1">
      <alignment horizontal="right" vertical="center"/>
    </xf>
    <xf numFmtId="0" fontId="37" fillId="3" borderId="0" xfId="6" applyFill="1"/>
    <xf numFmtId="0" fontId="43" fillId="6" borderId="0" xfId="8"/>
    <xf numFmtId="0" fontId="43" fillId="11" borderId="0" xfId="9"/>
    <xf numFmtId="0" fontId="41" fillId="0" borderId="0" xfId="11" applyAlignment="1">
      <alignment horizontal="left"/>
    </xf>
    <xf numFmtId="2" fontId="41" fillId="0" borderId="0" xfId="11" applyNumberFormat="1" applyAlignment="1">
      <alignment horizontal="left" wrapText="1"/>
    </xf>
    <xf numFmtId="0" fontId="41" fillId="0" borderId="0" xfId="11" applyAlignment="1">
      <alignment horizontal="left" wrapText="1"/>
    </xf>
    <xf numFmtId="0" fontId="41" fillId="0" borderId="0" xfId="11" applyAlignment="1">
      <alignment horizontal="left" vertical="center"/>
    </xf>
    <xf numFmtId="9" fontId="41" fillId="0" borderId="0" xfId="11" applyNumberFormat="1" applyAlignment="1" applyProtection="1">
      <alignment horizontal="left"/>
      <protection locked="0"/>
    </xf>
    <xf numFmtId="0" fontId="41" fillId="0" borderId="0" xfId="11" applyAlignment="1">
      <alignment horizontal="left" vertical="center" wrapText="1"/>
    </xf>
    <xf numFmtId="0" fontId="24" fillId="0" borderId="4" xfId="0" applyFont="1" applyBorder="1" applyAlignment="1">
      <alignment horizontal="center" vertical="center"/>
    </xf>
    <xf numFmtId="0" fontId="41" fillId="0" borderId="0" xfId="11" applyAlignment="1" applyProtection="1">
      <alignment horizontal="left" wrapText="1"/>
    </xf>
    <xf numFmtId="0" fontId="41" fillId="0" borderId="0" xfId="11" applyAlignment="1" applyProtection="1">
      <alignment horizontal="left" vertical="center" wrapText="1"/>
    </xf>
    <xf numFmtId="167" fontId="6" fillId="0" borderId="4" xfId="0" applyNumberFormat="1" applyFont="1" applyBorder="1" applyAlignment="1">
      <alignment horizontal="right" vertical="center"/>
    </xf>
    <xf numFmtId="167" fontId="6" fillId="0" borderId="4" xfId="0" applyNumberFormat="1" applyFont="1" applyBorder="1" applyAlignment="1">
      <alignment vertical="center"/>
    </xf>
    <xf numFmtId="167" fontId="18" fillId="0" borderId="4" xfId="0" applyNumberFormat="1" applyFont="1" applyBorder="1" applyAlignment="1">
      <alignment horizontal="right" vertical="center"/>
    </xf>
    <xf numFmtId="0" fontId="41" fillId="0" borderId="0" xfId="11" applyAlignment="1" applyProtection="1">
      <alignment horizontal="left" vertical="center"/>
    </xf>
    <xf numFmtId="167" fontId="6" fillId="0" borderId="4" xfId="3" applyNumberFormat="1" applyFont="1" applyFill="1" applyBorder="1" applyAlignment="1" applyProtection="1">
      <alignment horizontal="right" vertical="center"/>
    </xf>
    <xf numFmtId="2" fontId="6" fillId="4" borderId="4" xfId="0" applyNumberFormat="1" applyFont="1" applyFill="1" applyBorder="1" applyAlignment="1">
      <alignment horizontal="left" vertical="center" wrapText="1"/>
    </xf>
    <xf numFmtId="0" fontId="41" fillId="0" borderId="0" xfId="11" applyAlignment="1" applyProtection="1">
      <alignment wrapText="1"/>
    </xf>
    <xf numFmtId="2" fontId="41" fillId="0" borderId="0" xfId="11" applyNumberFormat="1" applyAlignment="1" applyProtection="1">
      <alignment horizontal="left"/>
    </xf>
    <xf numFmtId="167" fontId="6" fillId="0" borderId="4" xfId="3" applyNumberFormat="1" applyFont="1" applyBorder="1" applyAlignment="1" applyProtection="1">
      <alignment horizontal="right" vertical="center"/>
    </xf>
    <xf numFmtId="0" fontId="6" fillId="4" borderId="4" xfId="0" applyFont="1" applyFill="1" applyBorder="1" applyAlignment="1">
      <alignment wrapText="1"/>
    </xf>
    <xf numFmtId="2" fontId="6" fillId="0" borderId="8" xfId="0" applyNumberFormat="1" applyFont="1" applyBorder="1" applyAlignment="1">
      <alignment vertical="center"/>
    </xf>
    <xf numFmtId="167" fontId="6" fillId="0" borderId="8" xfId="0" applyNumberFormat="1" applyFont="1" applyBorder="1" applyAlignment="1">
      <alignment vertical="center"/>
    </xf>
    <xf numFmtId="0" fontId="18" fillId="4" borderId="7" xfId="0" applyFont="1" applyFill="1" applyBorder="1" applyAlignment="1">
      <alignment wrapText="1"/>
    </xf>
    <xf numFmtId="167" fontId="18" fillId="0" borderId="7" xfId="0" applyNumberFormat="1" applyFont="1" applyBorder="1" applyAlignment="1">
      <alignment vertical="center"/>
    </xf>
    <xf numFmtId="9" fontId="6" fillId="0" borderId="4" xfId="4" applyFont="1" applyBorder="1" applyAlignment="1" applyProtection="1">
      <alignment vertical="center"/>
    </xf>
    <xf numFmtId="0" fontId="6" fillId="4" borderId="7" xfId="0" applyFont="1" applyFill="1" applyBorder="1" applyAlignment="1">
      <alignment horizontal="left" vertical="center" wrapText="1"/>
    </xf>
    <xf numFmtId="9" fontId="6" fillId="0" borderId="7" xfId="4" applyFont="1" applyBorder="1" applyAlignment="1" applyProtection="1">
      <alignment vertical="center"/>
    </xf>
    <xf numFmtId="9" fontId="6" fillId="0" borderId="10" xfId="4" applyFont="1" applyBorder="1" applyAlignment="1" applyProtection="1">
      <alignment horizontal="right" vertical="center"/>
    </xf>
    <xf numFmtId="167" fontId="18" fillId="0" borderId="4" xfId="4" applyNumberFormat="1" applyFont="1" applyBorder="1" applyAlignment="1" applyProtection="1">
      <alignment vertical="center"/>
    </xf>
    <xf numFmtId="9" fontId="6" fillId="0" borderId="4" xfId="4" applyFont="1" applyBorder="1" applyAlignment="1" applyProtection="1">
      <alignment horizontal="right" vertical="center"/>
    </xf>
    <xf numFmtId="2" fontId="6" fillId="0" borderId="0" xfId="0" applyNumberFormat="1" applyFont="1" applyAlignment="1">
      <alignment vertical="center"/>
    </xf>
    <xf numFmtId="0" fontId="6" fillId="0" borderId="0" xfId="0" applyFont="1" applyAlignment="1">
      <alignment vertical="center"/>
    </xf>
    <xf numFmtId="166" fontId="6" fillId="0" borderId="0" xfId="0" applyNumberFormat="1" applyFont="1" applyAlignment="1">
      <alignment vertical="center"/>
    </xf>
    <xf numFmtId="0" fontId="45" fillId="0" borderId="0" xfId="10" applyAlignment="1" applyProtection="1">
      <alignment horizontal="left" vertical="center"/>
    </xf>
    <xf numFmtId="0" fontId="18" fillId="4" borderId="4" xfId="0" applyFont="1" applyFill="1" applyBorder="1" applyAlignment="1">
      <alignment wrapText="1"/>
    </xf>
    <xf numFmtId="167" fontId="6" fillId="0" borderId="0" xfId="0" applyNumberFormat="1" applyFont="1" applyAlignment="1">
      <alignment vertical="center"/>
    </xf>
    <xf numFmtId="0" fontId="41" fillId="0" borderId="0" xfId="11" applyAlignment="1" applyProtection="1"/>
    <xf numFmtId="0" fontId="41" fillId="0" borderId="0" xfId="11" applyAlignment="1" applyProtection="1">
      <alignment horizontal="left"/>
    </xf>
    <xf numFmtId="0" fontId="6" fillId="0" borderId="4" xfId="0" applyFont="1" applyBorder="1" applyAlignment="1">
      <alignment horizontal="center" vertical="center" wrapText="1"/>
    </xf>
    <xf numFmtId="0" fontId="18" fillId="0" borderId="0" xfId="0" applyFont="1" applyAlignment="1">
      <alignment vertical="center"/>
    </xf>
    <xf numFmtId="166" fontId="6" fillId="0" borderId="4" xfId="3" applyNumberFormat="1" applyFont="1" applyBorder="1" applyAlignment="1" applyProtection="1">
      <alignment vertical="center"/>
    </xf>
    <xf numFmtId="0" fontId="20" fillId="0" borderId="0" xfId="0" applyFont="1" applyAlignment="1">
      <alignment horizontal="center"/>
    </xf>
    <xf numFmtId="167" fontId="18" fillId="0" borderId="4" xfId="0" applyNumberFormat="1" applyFont="1" applyBorder="1" applyAlignment="1">
      <alignment vertical="center"/>
    </xf>
    <xf numFmtId="2" fontId="6" fillId="0" borderId="0" xfId="0" applyNumberFormat="1" applyFont="1" applyAlignment="1">
      <alignment horizontal="left"/>
    </xf>
    <xf numFmtId="167" fontId="6" fillId="0" borderId="14" xfId="0" applyNumberFormat="1" applyFont="1" applyBorder="1" applyAlignment="1">
      <alignment horizontal="right" vertical="center"/>
    </xf>
    <xf numFmtId="167" fontId="41" fillId="0" borderId="0" xfId="11" applyNumberFormat="1" applyAlignment="1" applyProtection="1">
      <alignment horizontal="left" wrapText="1"/>
    </xf>
    <xf numFmtId="167" fontId="4" fillId="0" borderId="0" xfId="0" applyNumberFormat="1" applyFont="1" applyAlignment="1">
      <alignment vertical="center"/>
    </xf>
    <xf numFmtId="9" fontId="4" fillId="0" borderId="0" xfId="4" applyFont="1" applyAlignment="1" applyProtection="1">
      <alignment vertical="center"/>
    </xf>
    <xf numFmtId="0" fontId="5" fillId="4" borderId="4" xfId="0" applyFont="1" applyFill="1" applyBorder="1" applyAlignment="1">
      <alignment horizontal="left" vertical="center" wrapText="1"/>
    </xf>
    <xf numFmtId="167" fontId="6" fillId="0" borderId="4" xfId="0" applyNumberFormat="1" applyFont="1" applyBorder="1" applyAlignment="1">
      <alignment horizontal="right" vertical="center" wrapText="1"/>
    </xf>
    <xf numFmtId="0" fontId="37" fillId="0" borderId="0" xfId="6" applyAlignment="1" applyProtection="1">
      <alignment horizontal="left" vertical="center"/>
    </xf>
    <xf numFmtId="164" fontId="38" fillId="0" borderId="0" xfId="0" applyNumberFormat="1" applyFont="1" applyAlignment="1">
      <alignment horizontal="left" vertical="center" wrapText="1"/>
    </xf>
    <xf numFmtId="164" fontId="8" fillId="0" borderId="0" xfId="0" applyNumberFormat="1" applyFont="1" applyAlignment="1">
      <alignment vertical="center" wrapText="1"/>
    </xf>
    <xf numFmtId="164" fontId="8" fillId="0" borderId="0" xfId="0" applyNumberFormat="1" applyFont="1" applyAlignment="1">
      <alignment vertical="top"/>
    </xf>
    <xf numFmtId="0" fontId="9" fillId="0" borderId="0" xfId="0" applyFont="1" applyAlignment="1">
      <alignment horizontal="left" vertical="center"/>
    </xf>
    <xf numFmtId="0" fontId="1" fillId="0" borderId="0" xfId="0" applyFont="1"/>
    <xf numFmtId="0" fontId="7" fillId="0" borderId="0" xfId="0" applyFont="1" applyAlignment="1">
      <alignment horizontal="left" vertical="center"/>
    </xf>
    <xf numFmtId="2" fontId="10" fillId="0" borderId="0" xfId="0" applyNumberFormat="1" applyFont="1" applyAlignment="1">
      <alignment horizontal="right" vertical="center"/>
    </xf>
    <xf numFmtId="0" fontId="44" fillId="0" borderId="0" xfId="7" applyProtection="1"/>
    <xf numFmtId="0" fontId="7" fillId="0" borderId="0" xfId="0" applyFont="1" applyAlignment="1">
      <alignment horizontal="left" vertical="center" wrapText="1"/>
    </xf>
    <xf numFmtId="0" fontId="43" fillId="6" borderId="0" xfId="8" applyProtection="1"/>
    <xf numFmtId="0" fontId="28" fillId="0" borderId="0" xfId="0" applyFont="1" applyAlignment="1">
      <alignment vertical="center"/>
    </xf>
    <xf numFmtId="0" fontId="5" fillId="0" borderId="0" xfId="0" applyFont="1"/>
    <xf numFmtId="0" fontId="4" fillId="4" borderId="8" xfId="0" applyFont="1" applyFill="1" applyBorder="1" applyAlignment="1">
      <alignment horizontal="left" vertical="center" wrapText="1"/>
    </xf>
    <xf numFmtId="167" fontId="6" fillId="0" borderId="8" xfId="0" applyNumberFormat="1" applyFont="1" applyBorder="1" applyAlignment="1">
      <alignment horizontal="right" vertical="center"/>
    </xf>
    <xf numFmtId="167" fontId="4" fillId="0" borderId="7" xfId="0" applyNumberFormat="1" applyFont="1" applyBorder="1" applyAlignment="1">
      <alignment vertical="center"/>
    </xf>
    <xf numFmtId="0" fontId="5" fillId="4" borderId="10" xfId="0" applyFont="1" applyFill="1" applyBorder="1" applyAlignment="1">
      <alignment wrapText="1"/>
    </xf>
    <xf numFmtId="167" fontId="18" fillId="0" borderId="10" xfId="0" applyNumberFormat="1" applyFont="1" applyBorder="1" applyAlignment="1">
      <alignment horizontal="right" vertical="center"/>
    </xf>
    <xf numFmtId="0" fontId="4" fillId="4" borderId="7" xfId="0" applyFont="1" applyFill="1" applyBorder="1" applyAlignment="1">
      <alignment wrapText="1"/>
    </xf>
    <xf numFmtId="2" fontId="6" fillId="0" borderId="7" xfId="0" applyNumberFormat="1" applyFont="1" applyBorder="1" applyAlignment="1">
      <alignment vertical="center"/>
    </xf>
    <xf numFmtId="167" fontId="18" fillId="0" borderId="10" xfId="0" applyNumberFormat="1" applyFont="1" applyBorder="1" applyAlignment="1">
      <alignment vertical="center"/>
    </xf>
    <xf numFmtId="0" fontId="4" fillId="4" borderId="4" xfId="0" applyFont="1" applyFill="1" applyBorder="1" applyAlignment="1">
      <alignment wrapText="1"/>
    </xf>
    <xf numFmtId="166" fontId="4" fillId="0" borderId="0" xfId="0" applyNumberFormat="1" applyFont="1" applyAlignment="1">
      <alignment vertical="center"/>
    </xf>
    <xf numFmtId="166" fontId="28" fillId="0" borderId="0" xfId="0" applyNumberFormat="1" applyFont="1" applyAlignment="1">
      <alignment vertical="center"/>
    </xf>
    <xf numFmtId="0" fontId="29" fillId="0" borderId="0" xfId="0" applyFont="1"/>
    <xf numFmtId="10" fontId="18" fillId="0" borderId="4" xfId="4" applyNumberFormat="1" applyFont="1" applyFill="1" applyBorder="1" applyAlignment="1" applyProtection="1">
      <alignment horizontal="right" vertical="center" wrapText="1"/>
    </xf>
    <xf numFmtId="10" fontId="4" fillId="0" borderId="0" xfId="0" applyNumberFormat="1" applyFont="1" applyAlignment="1">
      <alignment vertical="center"/>
    </xf>
    <xf numFmtId="167" fontId="6" fillId="0" borderId="7" xfId="0" applyNumberFormat="1" applyFont="1" applyBorder="1" applyAlignment="1">
      <alignment horizontal="right" vertical="center"/>
    </xf>
    <xf numFmtId="180" fontId="4" fillId="0" borderId="0" xfId="0" applyNumberFormat="1" applyFont="1" applyAlignment="1">
      <alignment vertical="center"/>
    </xf>
    <xf numFmtId="9" fontId="4" fillId="0" borderId="0" xfId="0" applyNumberFormat="1" applyFont="1" applyAlignment="1">
      <alignment vertical="center"/>
    </xf>
    <xf numFmtId="167" fontId="18" fillId="0" borderId="0" xfId="0" applyNumberFormat="1" applyFont="1" applyAlignment="1">
      <alignment horizontal="right" vertical="center"/>
    </xf>
    <xf numFmtId="167" fontId="5" fillId="0" borderId="4" xfId="0" applyNumberFormat="1" applyFont="1" applyBorder="1" applyAlignment="1">
      <alignment horizontal="right" vertical="center"/>
    </xf>
    <xf numFmtId="0" fontId="5" fillId="4" borderId="4" xfId="0" applyFont="1" applyFill="1" applyBorder="1" applyAlignment="1">
      <alignment wrapText="1"/>
    </xf>
    <xf numFmtId="0" fontId="43" fillId="11" borderId="0" xfId="9" applyProtection="1"/>
    <xf numFmtId="0" fontId="5" fillId="0" borderId="0" xfId="0" applyFont="1" applyAlignment="1">
      <alignment vertical="center"/>
    </xf>
    <xf numFmtId="0" fontId="45" fillId="0" borderId="0" xfId="10" applyProtection="1"/>
    <xf numFmtId="167" fontId="4" fillId="0" borderId="4" xfId="0" applyNumberFormat="1" applyFont="1" applyBorder="1" applyAlignment="1">
      <alignment horizontal="right" vertical="center"/>
    </xf>
    <xf numFmtId="167" fontId="4" fillId="0" borderId="0" xfId="0" applyNumberFormat="1" applyFont="1" applyAlignment="1">
      <alignment horizontal="right" vertical="center"/>
    </xf>
    <xf numFmtId="0" fontId="45" fillId="0" borderId="0" xfId="10" applyAlignment="1" applyProtection="1">
      <alignment vertical="center"/>
    </xf>
    <xf numFmtId="2" fontId="18" fillId="4" borderId="4" xfId="0" applyNumberFormat="1" applyFont="1" applyFill="1" applyBorder="1" applyAlignment="1">
      <alignment horizontal="left" vertical="center" wrapText="1"/>
    </xf>
    <xf numFmtId="2" fontId="4" fillId="0" borderId="0" xfId="0" applyNumberFormat="1" applyFont="1" applyAlignment="1">
      <alignment vertical="center"/>
    </xf>
    <xf numFmtId="0" fontId="29" fillId="0" borderId="0" xfId="0" applyFont="1" applyAlignment="1">
      <alignment vertical="center"/>
    </xf>
    <xf numFmtId="0" fontId="21" fillId="0" borderId="0" xfId="0" applyFont="1" applyAlignment="1">
      <alignment horizontal="left" vertical="center"/>
    </xf>
    <xf numFmtId="0" fontId="22" fillId="0" borderId="0" xfId="0" applyFont="1"/>
    <xf numFmtId="0" fontId="23" fillId="0" borderId="0" xfId="0" applyFont="1" applyAlignment="1">
      <alignment horizontal="left" vertical="center" wrapText="1"/>
    </xf>
    <xf numFmtId="2" fontId="6" fillId="0" borderId="0" xfId="0" applyNumberFormat="1" applyFont="1" applyAlignment="1">
      <alignment horizontal="right" vertical="center"/>
    </xf>
    <xf numFmtId="0" fontId="18" fillId="0" borderId="0" xfId="0" applyFont="1" applyAlignment="1">
      <alignment horizontal="center"/>
    </xf>
    <xf numFmtId="167" fontId="6" fillId="0" borderId="0" xfId="0" applyNumberFormat="1" applyFont="1" applyAlignment="1">
      <alignment horizontal="center"/>
    </xf>
    <xf numFmtId="0" fontId="24" fillId="0" borderId="14" xfId="0" applyFont="1" applyBorder="1" applyAlignment="1">
      <alignment vertical="top" wrapText="1"/>
    </xf>
    <xf numFmtId="1" fontId="6" fillId="0" borderId="0" xfId="0" applyNumberFormat="1" applyFont="1" applyAlignment="1">
      <alignment horizontal="center"/>
    </xf>
    <xf numFmtId="2" fontId="30" fillId="0" borderId="0" xfId="0" applyNumberFormat="1" applyFont="1" applyAlignment="1">
      <alignment horizontal="center" vertical="center" wrapText="1"/>
    </xf>
    <xf numFmtId="164" fontId="38" fillId="0" borderId="14" xfId="0" applyNumberFormat="1" applyFont="1" applyBorder="1" applyAlignment="1">
      <alignment horizontal="left" vertical="center" wrapText="1"/>
    </xf>
    <xf numFmtId="0" fontId="6" fillId="0" borderId="0" xfId="0" applyFont="1" applyAlignment="1">
      <alignment vertical="center" wrapText="1"/>
    </xf>
    <xf numFmtId="0" fontId="0" fillId="3" borderId="0" xfId="0" applyFill="1"/>
    <xf numFmtId="0" fontId="37" fillId="3" borderId="0" xfId="6" applyFill="1" applyProtection="1"/>
    <xf numFmtId="164" fontId="38" fillId="3" borderId="0" xfId="0" applyNumberFormat="1" applyFont="1" applyFill="1" applyAlignment="1">
      <alignment vertical="center"/>
    </xf>
    <xf numFmtId="0" fontId="39" fillId="3" borderId="0" xfId="0" applyFont="1" applyFill="1"/>
    <xf numFmtId="0" fontId="6" fillId="3" borderId="11" xfId="0" applyFont="1" applyFill="1" applyBorder="1"/>
    <xf numFmtId="0" fontId="6" fillId="3" borderId="14" xfId="0" applyFont="1" applyFill="1" applyBorder="1"/>
    <xf numFmtId="0" fontId="6" fillId="3" borderId="9" xfId="0" applyFont="1" applyFill="1" applyBorder="1"/>
    <xf numFmtId="0" fontId="6" fillId="3" borderId="16" xfId="0" applyFont="1" applyFill="1" applyBorder="1"/>
    <xf numFmtId="0" fontId="6" fillId="3" borderId="17" xfId="0" applyFont="1" applyFill="1" applyBorder="1"/>
    <xf numFmtId="0" fontId="42" fillId="3" borderId="0" xfId="0" applyFont="1" applyFill="1"/>
    <xf numFmtId="0" fontId="18" fillId="3" borderId="0" xfId="0" applyFont="1" applyFill="1" applyAlignment="1">
      <alignment horizontal="left" vertical="center"/>
    </xf>
    <xf numFmtId="0" fontId="4" fillId="3" borderId="0" xfId="0" applyFont="1" applyFill="1" applyAlignment="1">
      <alignment horizontal="left" vertical="center"/>
    </xf>
    <xf numFmtId="0" fontId="6" fillId="3" borderId="12" xfId="0" applyFont="1" applyFill="1" applyBorder="1"/>
    <xf numFmtId="0" fontId="6" fillId="3" borderId="15" xfId="0" applyFont="1" applyFill="1" applyBorder="1"/>
    <xf numFmtId="0" fontId="6" fillId="3" borderId="13" xfId="0" applyFont="1" applyFill="1" applyBorder="1"/>
    <xf numFmtId="0" fontId="19" fillId="3" borderId="0" xfId="0" applyFont="1" applyFill="1"/>
    <xf numFmtId="0" fontId="4" fillId="3" borderId="4" xfId="0" applyFont="1" applyFill="1" applyBorder="1" applyAlignment="1">
      <alignment horizontal="left" vertical="top" wrapText="1"/>
    </xf>
    <xf numFmtId="167" fontId="4" fillId="0" borderId="4" xfId="0" applyNumberFormat="1" applyFont="1" applyBorder="1" applyAlignment="1">
      <alignment horizontal="right" vertical="center" wrapText="1"/>
    </xf>
    <xf numFmtId="0" fontId="4" fillId="3" borderId="4" xfId="0" applyFont="1" applyFill="1" applyBorder="1" applyAlignment="1">
      <alignment horizontal="left" vertical="top"/>
    </xf>
    <xf numFmtId="10" fontId="4" fillId="0" borderId="4" xfId="4" applyNumberFormat="1" applyFont="1" applyBorder="1" applyAlignment="1">
      <alignment horizontal="right" vertical="center"/>
    </xf>
    <xf numFmtId="10" fontId="6" fillId="0" borderId="4" xfId="4" applyNumberFormat="1" applyFont="1" applyBorder="1" applyAlignment="1">
      <alignment horizontal="right" vertical="center" wrapText="1"/>
    </xf>
    <xf numFmtId="181" fontId="4" fillId="0" borderId="0" xfId="4" applyNumberFormat="1" applyFont="1" applyAlignment="1">
      <alignment vertical="center"/>
    </xf>
    <xf numFmtId="0" fontId="4" fillId="0" borderId="0" xfId="4" applyNumberFormat="1" applyFont="1" applyAlignment="1">
      <alignment vertical="center"/>
    </xf>
    <xf numFmtId="167" fontId="4" fillId="0" borderId="0" xfId="3" applyNumberFormat="1" applyFont="1" applyAlignment="1">
      <alignment vertical="center"/>
    </xf>
    <xf numFmtId="174" fontId="6" fillId="0" borderId="7" xfId="4" applyNumberFormat="1" applyFont="1" applyFill="1" applyBorder="1" applyAlignment="1" applyProtection="1">
      <alignment horizontal="right" vertical="center"/>
      <protection locked="0"/>
    </xf>
    <xf numFmtId="0" fontId="24" fillId="0" borderId="0" xfId="0" applyFont="1" applyAlignment="1">
      <alignment horizontal="left" vertical="center" wrapText="1"/>
    </xf>
    <xf numFmtId="2" fontId="18" fillId="0" borderId="4" xfId="4" applyNumberFormat="1" applyFont="1" applyFill="1" applyBorder="1" applyAlignment="1" applyProtection="1">
      <alignment horizontal="right" vertical="center"/>
    </xf>
    <xf numFmtId="2" fontId="33" fillId="0" borderId="0" xfId="0" applyNumberFormat="1" applyFont="1" applyAlignment="1">
      <alignment horizontal="center" vertical="center"/>
    </xf>
    <xf numFmtId="0" fontId="18" fillId="3" borderId="2" xfId="0" applyFont="1" applyFill="1" applyBorder="1" applyAlignment="1">
      <alignment horizontal="left" vertical="top"/>
    </xf>
    <xf numFmtId="0" fontId="18" fillId="3" borderId="9" xfId="0" applyFont="1" applyFill="1" applyBorder="1" applyAlignment="1">
      <alignment horizontal="left" vertical="top"/>
    </xf>
    <xf numFmtId="0" fontId="6" fillId="3" borderId="8" xfId="0" applyFont="1" applyFill="1" applyBorder="1" applyAlignment="1">
      <alignment vertical="top" wrapText="1"/>
    </xf>
    <xf numFmtId="0" fontId="18" fillId="5" borderId="13" xfId="0" applyFont="1" applyFill="1" applyBorder="1" applyAlignment="1">
      <alignment horizontal="center"/>
    </xf>
    <xf numFmtId="0" fontId="18" fillId="5" borderId="10" xfId="0" applyFont="1" applyFill="1" applyBorder="1" applyAlignment="1">
      <alignment horizontal="center"/>
    </xf>
    <xf numFmtId="0" fontId="16" fillId="3" borderId="2" xfId="0" applyFont="1" applyFill="1" applyBorder="1" applyAlignment="1">
      <alignment horizontal="left" vertical="top" wrapText="1"/>
    </xf>
    <xf numFmtId="0" fontId="15" fillId="3" borderId="3" xfId="2" applyFont="1" applyFill="1" applyBorder="1" applyAlignment="1" applyProtection="1">
      <alignment vertical="center" wrapText="1"/>
    </xf>
    <xf numFmtId="0" fontId="17" fillId="3" borderId="3" xfId="2" applyFont="1" applyFill="1" applyBorder="1" applyAlignment="1" applyProtection="1">
      <alignment wrapText="1"/>
    </xf>
    <xf numFmtId="0" fontId="16" fillId="3" borderId="9" xfId="0" applyFont="1" applyFill="1" applyBorder="1" applyAlignment="1">
      <alignment horizontal="left" vertical="top" wrapText="1"/>
    </xf>
    <xf numFmtId="0" fontId="4" fillId="3" borderId="8" xfId="0" applyFont="1" applyFill="1" applyBorder="1" applyAlignment="1">
      <alignment horizontal="left" vertical="top" wrapText="1"/>
    </xf>
    <xf numFmtId="0" fontId="15" fillId="3" borderId="11" xfId="2" applyFont="1" applyFill="1" applyBorder="1" applyAlignment="1" applyProtection="1">
      <alignment vertical="center" wrapText="1"/>
    </xf>
    <xf numFmtId="0" fontId="18" fillId="3" borderId="13" xfId="0" applyFont="1" applyFill="1" applyBorder="1" applyAlignment="1">
      <alignment horizontal="center"/>
    </xf>
    <xf numFmtId="0" fontId="18" fillId="3" borderId="10" xfId="0" applyFont="1" applyFill="1" applyBorder="1" applyAlignment="1">
      <alignment horizontal="center"/>
    </xf>
    <xf numFmtId="0" fontId="18" fillId="3" borderId="12" xfId="0" applyFont="1" applyFill="1" applyBorder="1" applyAlignment="1">
      <alignment horizontal="center"/>
    </xf>
    <xf numFmtId="0" fontId="18" fillId="4" borderId="8" xfId="0" applyFont="1" applyFill="1" applyBorder="1"/>
    <xf numFmtId="171" fontId="6" fillId="0" borderId="8" xfId="4" applyNumberFormat="1" applyFont="1" applyFill="1" applyBorder="1" applyAlignment="1" applyProtection="1">
      <alignment horizontal="right" vertical="center"/>
      <protection locked="0"/>
    </xf>
    <xf numFmtId="0" fontId="6" fillId="4" borderId="13" xfId="0" applyFont="1" applyFill="1" applyBorder="1" applyAlignment="1">
      <alignment horizontal="left" vertical="center"/>
    </xf>
    <xf numFmtId="0" fontId="6" fillId="4" borderId="10" xfId="0" applyFont="1" applyFill="1" applyBorder="1" applyAlignment="1">
      <alignment horizontal="left" vertical="center"/>
    </xf>
    <xf numFmtId="0" fontId="6" fillId="4" borderId="12" xfId="0" applyFont="1" applyFill="1" applyBorder="1" applyAlignment="1">
      <alignment horizontal="left" vertical="center"/>
    </xf>
    <xf numFmtId="172" fontId="6" fillId="0" borderId="9" xfId="0" applyNumberFormat="1" applyFont="1" applyBorder="1" applyAlignment="1" applyProtection="1">
      <alignment horizontal="center"/>
      <protection locked="0"/>
    </xf>
    <xf numFmtId="0" fontId="24" fillId="0" borderId="8" xfId="0" applyFont="1" applyBorder="1" applyAlignment="1">
      <alignment horizontal="center"/>
    </xf>
    <xf numFmtId="172" fontId="6" fillId="0" borderId="11" xfId="0" applyNumberFormat="1" applyFont="1" applyBorder="1" applyAlignment="1" applyProtection="1">
      <alignment horizontal="center"/>
      <protection locked="0"/>
    </xf>
    <xf numFmtId="0" fontId="6" fillId="4" borderId="8" xfId="0" applyFont="1" applyFill="1" applyBorder="1" applyAlignment="1">
      <alignment horizontal="left" vertical="center" wrapText="1"/>
    </xf>
    <xf numFmtId="173" fontId="6" fillId="0" borderId="8" xfId="3" applyNumberFormat="1" applyFont="1" applyFill="1" applyBorder="1" applyAlignment="1" applyProtection="1">
      <alignment horizontal="right" vertical="center"/>
      <protection locked="0"/>
    </xf>
    <xf numFmtId="0" fontId="18" fillId="4" borderId="8" xfId="0" applyFont="1" applyFill="1" applyBorder="1" applyAlignment="1">
      <alignment horizontal="left" vertical="center" wrapText="1"/>
    </xf>
    <xf numFmtId="1" fontId="35" fillId="0" borderId="11" xfId="3" applyNumberFormat="1" applyFont="1" applyFill="1" applyBorder="1" applyAlignment="1">
      <alignment horizontal="right" vertical="center"/>
    </xf>
    <xf numFmtId="169" fontId="18" fillId="0" borderId="8" xfId="5" applyNumberFormat="1" applyFont="1" applyFill="1" applyBorder="1" applyAlignment="1" applyProtection="1">
      <alignment horizontal="right" vertical="center"/>
      <protection locked="0"/>
    </xf>
    <xf numFmtId="0" fontId="18" fillId="0" borderId="0" xfId="0" applyFont="1" applyAlignment="1">
      <alignment horizontal="left"/>
    </xf>
    <xf numFmtId="0" fontId="41" fillId="0" borderId="0" xfId="11" applyAlignment="1">
      <alignment horizontal="left" vertical="top"/>
    </xf>
    <xf numFmtId="0" fontId="18" fillId="0" borderId="20" xfId="0" applyFont="1" applyBorder="1" applyAlignment="1" applyProtection="1">
      <alignment horizontal="left" vertical="center"/>
      <protection locked="0"/>
    </xf>
    <xf numFmtId="0" fontId="18" fillId="4" borderId="8" xfId="0" applyFont="1" applyFill="1" applyBorder="1" applyAlignment="1">
      <alignment horizontal="left" vertical="center"/>
    </xf>
    <xf numFmtId="175" fontId="6" fillId="0" borderId="8" xfId="4" applyNumberFormat="1" applyFont="1" applyFill="1" applyBorder="1" applyAlignment="1" applyProtection="1">
      <alignment horizontal="right" vertical="center"/>
      <protection locked="0"/>
    </xf>
    <xf numFmtId="0" fontId="18" fillId="4" borderId="18" xfId="0" applyFont="1" applyFill="1" applyBorder="1" applyAlignment="1">
      <alignment horizontal="left" vertical="center" wrapText="1"/>
    </xf>
    <xf numFmtId="174" fontId="6" fillId="0" borderId="8" xfId="4" applyNumberFormat="1" applyFont="1" applyFill="1" applyBorder="1" applyAlignment="1" applyProtection="1">
      <alignment horizontal="right" vertical="center"/>
      <protection locked="0"/>
    </xf>
    <xf numFmtId="0" fontId="41" fillId="0" borderId="0" xfId="0" applyFont="1" applyAlignment="1">
      <alignment horizontal="left" wrapText="1"/>
    </xf>
    <xf numFmtId="0" fontId="41" fillId="0" borderId="0" xfId="0" applyFont="1" applyAlignment="1">
      <alignment horizontal="left"/>
    </xf>
    <xf numFmtId="0" fontId="6" fillId="0" borderId="8" xfId="0" applyFont="1" applyBorder="1"/>
    <xf numFmtId="167" fontId="24" fillId="0" borderId="8" xfId="0" applyNumberFormat="1" applyFont="1" applyBorder="1" applyAlignment="1">
      <alignment horizontal="right" vertical="center"/>
    </xf>
    <xf numFmtId="167" fontId="6" fillId="12" borderId="14" xfId="0" applyNumberFormat="1" applyFont="1" applyFill="1" applyBorder="1" applyAlignment="1">
      <alignment horizontal="center" vertical="center"/>
    </xf>
    <xf numFmtId="2" fontId="6" fillId="12" borderId="8" xfId="0" applyNumberFormat="1" applyFont="1" applyFill="1" applyBorder="1" applyAlignment="1">
      <alignment horizontal="center" vertical="center"/>
    </xf>
    <xf numFmtId="2" fontId="6" fillId="12" borderId="4" xfId="0" applyNumberFormat="1" applyFont="1" applyFill="1" applyBorder="1" applyAlignment="1">
      <alignment horizontal="center" vertical="center"/>
    </xf>
    <xf numFmtId="2" fontId="6" fillId="12" borderId="11" xfId="0" applyNumberFormat="1" applyFont="1" applyFill="1" applyBorder="1" applyAlignment="1">
      <alignment horizontal="center" vertical="center"/>
    </xf>
    <xf numFmtId="170" fontId="6" fillId="0" borderId="8" xfId="3" applyNumberFormat="1" applyFont="1" applyFill="1" applyBorder="1" applyAlignment="1" applyProtection="1">
      <alignment horizontal="right" vertical="center"/>
      <protection locked="0"/>
    </xf>
    <xf numFmtId="170" fontId="6" fillId="0" borderId="11" xfId="3" applyNumberFormat="1" applyFont="1" applyFill="1" applyBorder="1" applyAlignment="1" applyProtection="1">
      <alignment horizontal="right" vertical="center"/>
      <protection locked="0"/>
    </xf>
    <xf numFmtId="0" fontId="4" fillId="12" borderId="4" xfId="0" applyFont="1" applyFill="1" applyBorder="1" applyAlignment="1">
      <alignment horizontal="center" vertical="center"/>
    </xf>
    <xf numFmtId="0" fontId="4" fillId="12" borderId="3" xfId="0" applyFont="1" applyFill="1" applyBorder="1" applyAlignment="1">
      <alignment horizontal="center" vertical="center"/>
    </xf>
    <xf numFmtId="169" fontId="24" fillId="0" borderId="3" xfId="5" applyNumberFormat="1" applyFont="1" applyFill="1" applyBorder="1" applyAlignment="1" applyProtection="1">
      <alignment horizontal="right" vertical="center"/>
    </xf>
    <xf numFmtId="0" fontId="6" fillId="0" borderId="3" xfId="5" applyNumberFormat="1" applyFont="1" applyFill="1" applyBorder="1" applyAlignment="1" applyProtection="1">
      <alignment horizontal="right" vertical="center"/>
      <protection locked="0"/>
    </xf>
    <xf numFmtId="177" fontId="6" fillId="0" borderId="3" xfId="0" applyNumberFormat="1" applyFont="1" applyBorder="1" applyAlignment="1" applyProtection="1">
      <alignment horizontal="right" vertical="center"/>
      <protection locked="0"/>
    </xf>
    <xf numFmtId="167" fontId="24" fillId="0" borderId="12" xfId="0" applyNumberFormat="1" applyFont="1" applyBorder="1" applyAlignment="1" applyProtection="1">
      <alignment horizontal="right" vertical="center"/>
      <protection locked="0"/>
    </xf>
    <xf numFmtId="167" fontId="24" fillId="0" borderId="12" xfId="0" applyNumberFormat="1" applyFont="1" applyBorder="1" applyAlignment="1">
      <alignment horizontal="right" vertical="center"/>
    </xf>
    <xf numFmtId="179" fontId="6" fillId="0" borderId="8" xfId="4" applyNumberFormat="1" applyFont="1" applyFill="1" applyBorder="1" applyAlignment="1" applyProtection="1">
      <alignment horizontal="right" vertical="center"/>
      <protection locked="0"/>
    </xf>
    <xf numFmtId="178" fontId="6" fillId="0" borderId="18" xfId="0" applyNumberFormat="1" applyFont="1" applyBorder="1" applyAlignment="1" applyProtection="1">
      <alignment horizontal="right" vertical="center"/>
      <protection locked="0"/>
    </xf>
    <xf numFmtId="178" fontId="6" fillId="0" borderId="16" xfId="0" applyNumberFormat="1" applyFont="1" applyBorder="1" applyAlignment="1" applyProtection="1">
      <alignment horizontal="right" vertical="center"/>
      <protection locked="0"/>
    </xf>
    <xf numFmtId="2" fontId="6" fillId="12" borderId="7" xfId="0" applyNumberFormat="1" applyFont="1" applyFill="1" applyBorder="1" applyAlignment="1">
      <alignment horizontal="center" vertical="center"/>
    </xf>
    <xf numFmtId="2" fontId="6" fillId="12" borderId="10" xfId="0" applyNumberFormat="1" applyFont="1" applyFill="1" applyBorder="1" applyAlignment="1">
      <alignment horizontal="center" vertical="center"/>
    </xf>
    <xf numFmtId="2" fontId="6" fillId="12" borderId="3" xfId="0" applyNumberFormat="1" applyFont="1" applyFill="1" applyBorder="1" applyAlignment="1">
      <alignment horizontal="center" vertical="center"/>
    </xf>
    <xf numFmtId="167" fontId="6" fillId="0" borderId="3" xfId="0" applyNumberFormat="1" applyFont="1" applyBorder="1" applyAlignment="1">
      <alignment vertical="center"/>
    </xf>
    <xf numFmtId="167" fontId="18" fillId="0" borderId="3" xfId="0" applyNumberFormat="1" applyFont="1" applyBorder="1" applyAlignment="1">
      <alignment vertical="center"/>
    </xf>
    <xf numFmtId="167" fontId="18" fillId="0" borderId="8" xfId="0" applyNumberFormat="1" applyFont="1" applyBorder="1" applyAlignment="1">
      <alignment horizontal="right" vertical="center"/>
    </xf>
    <xf numFmtId="167" fontId="18" fillId="0" borderId="8" xfId="0" applyNumberFormat="1" applyFont="1" applyBorder="1" applyAlignment="1">
      <alignment vertical="center"/>
    </xf>
    <xf numFmtId="167" fontId="18" fillId="0" borderId="11" xfId="0" applyNumberFormat="1" applyFont="1" applyBorder="1" applyAlignment="1">
      <alignment vertical="center"/>
    </xf>
    <xf numFmtId="167" fontId="18" fillId="0" borderId="8" xfId="0" applyNumberFormat="1" applyFont="1" applyBorder="1" applyAlignment="1">
      <alignment horizontal="right" vertical="center" wrapText="1"/>
    </xf>
    <xf numFmtId="167" fontId="6" fillId="0" borderId="8" xfId="3" applyNumberFormat="1" applyFont="1" applyBorder="1" applyAlignment="1" applyProtection="1">
      <alignment horizontal="right" vertical="center"/>
    </xf>
    <xf numFmtId="2" fontId="6" fillId="0" borderId="11" xfId="0" applyNumberFormat="1" applyFont="1" applyBorder="1" applyAlignment="1">
      <alignment vertical="center"/>
    </xf>
    <xf numFmtId="167" fontId="6" fillId="0" borderId="11" xfId="0" applyNumberFormat="1" applyFont="1" applyBorder="1" applyAlignment="1">
      <alignment vertical="center"/>
    </xf>
    <xf numFmtId="167" fontId="18" fillId="0" borderId="19" xfId="0" applyNumberFormat="1" applyFont="1" applyBorder="1" applyAlignment="1">
      <alignment vertical="center"/>
    </xf>
    <xf numFmtId="9" fontId="6" fillId="0" borderId="3" xfId="4" applyFont="1" applyBorder="1" applyAlignment="1" applyProtection="1">
      <alignment vertical="center"/>
    </xf>
    <xf numFmtId="9" fontId="6" fillId="0" borderId="19" xfId="4" applyFont="1" applyBorder="1" applyAlignment="1" applyProtection="1">
      <alignment vertical="center"/>
    </xf>
    <xf numFmtId="9" fontId="6" fillId="0" borderId="12" xfId="4" applyFont="1" applyBorder="1" applyAlignment="1" applyProtection="1">
      <alignment horizontal="right" vertical="center"/>
    </xf>
    <xf numFmtId="167" fontId="18" fillId="0" borderId="3" xfId="4" applyNumberFormat="1" applyFont="1" applyBorder="1" applyAlignment="1" applyProtection="1">
      <alignment vertical="center"/>
    </xf>
    <xf numFmtId="9" fontId="6" fillId="0" borderId="3" xfId="4" applyFont="1" applyBorder="1" applyAlignment="1" applyProtection="1">
      <alignment horizontal="right" vertical="center"/>
    </xf>
    <xf numFmtId="167" fontId="18" fillId="0" borderId="8" xfId="4" applyNumberFormat="1" applyFont="1" applyBorder="1" applyAlignment="1" applyProtection="1">
      <alignment horizontal="right" vertical="center"/>
    </xf>
    <xf numFmtId="167" fontId="18" fillId="0" borderId="11" xfId="4" applyNumberFormat="1" applyFont="1" applyBorder="1" applyAlignment="1" applyProtection="1">
      <alignment horizontal="right" vertical="center"/>
    </xf>
    <xf numFmtId="167" fontId="18" fillId="0" borderId="11" xfId="0" applyNumberFormat="1" applyFont="1" applyBorder="1" applyAlignment="1">
      <alignment horizontal="right" vertical="center"/>
    </xf>
    <xf numFmtId="0" fontId="18" fillId="4" borderId="8" xfId="0" applyFont="1" applyFill="1" applyBorder="1" applyAlignment="1">
      <alignment wrapText="1"/>
    </xf>
    <xf numFmtId="0" fontId="6" fillId="0" borderId="8" xfId="0" applyFont="1" applyBorder="1" applyAlignment="1">
      <alignment horizontal="center" vertical="center"/>
    </xf>
    <xf numFmtId="166" fontId="6" fillId="0" borderId="3" xfId="3" applyNumberFormat="1" applyFont="1" applyBorder="1" applyAlignment="1" applyProtection="1">
      <alignment vertical="center"/>
    </xf>
    <xf numFmtId="0" fontId="5" fillId="4" borderId="8" xfId="0" applyFont="1" applyFill="1" applyBorder="1" applyAlignment="1">
      <alignment vertical="center" wrapText="1"/>
    </xf>
    <xf numFmtId="167" fontId="6" fillId="0" borderId="3" xfId="0" applyNumberFormat="1" applyFont="1" applyBorder="1" applyAlignment="1">
      <alignment horizontal="right" vertical="center"/>
    </xf>
    <xf numFmtId="167" fontId="6" fillId="0" borderId="3" xfId="0" applyNumberFormat="1" applyFont="1" applyBorder="1" applyAlignment="1">
      <alignment horizontal="right" vertical="center" wrapText="1"/>
    </xf>
    <xf numFmtId="0" fontId="5" fillId="4" borderId="8" xfId="0" applyFont="1" applyFill="1" applyBorder="1" applyAlignment="1">
      <alignment horizontal="left" vertical="center" wrapText="1"/>
    </xf>
    <xf numFmtId="167" fontId="6" fillId="0" borderId="8" xfId="0" applyNumberFormat="1" applyFont="1" applyBorder="1" applyAlignment="1">
      <alignment horizontal="right" vertical="center" wrapText="1"/>
    </xf>
    <xf numFmtId="167" fontId="6" fillId="0" borderId="11" xfId="0" applyNumberFormat="1" applyFont="1" applyBorder="1" applyAlignment="1">
      <alignment horizontal="right" vertical="center" wrapText="1"/>
    </xf>
    <xf numFmtId="167" fontId="6" fillId="0" borderId="11" xfId="0" applyNumberFormat="1" applyFont="1" applyBorder="1" applyAlignment="1">
      <alignment horizontal="right" vertical="center"/>
    </xf>
    <xf numFmtId="167" fontId="4" fillId="0" borderId="19" xfId="0" applyNumberFormat="1" applyFont="1" applyBorder="1" applyAlignment="1">
      <alignment vertical="center"/>
    </xf>
    <xf numFmtId="167" fontId="18" fillId="0" borderId="12" xfId="0" applyNumberFormat="1" applyFont="1" applyBorder="1" applyAlignment="1">
      <alignment horizontal="right" vertical="center"/>
    </xf>
    <xf numFmtId="2" fontId="6" fillId="0" borderId="19" xfId="0" applyNumberFormat="1" applyFont="1" applyBorder="1" applyAlignment="1">
      <alignment vertical="center"/>
    </xf>
    <xf numFmtId="167" fontId="18" fillId="0" borderId="12" xfId="0" applyNumberFormat="1" applyFont="1" applyBorder="1" applyAlignment="1">
      <alignment vertical="center"/>
    </xf>
    <xf numFmtId="0" fontId="4" fillId="4" borderId="8" xfId="0" applyFont="1" applyFill="1" applyBorder="1" applyAlignment="1">
      <alignment wrapText="1"/>
    </xf>
    <xf numFmtId="2" fontId="18" fillId="0" borderId="8" xfId="4" applyNumberFormat="1" applyFont="1" applyFill="1" applyBorder="1" applyAlignment="1" applyProtection="1">
      <alignment horizontal="right" vertical="center"/>
    </xf>
    <xf numFmtId="167" fontId="6" fillId="0" borderId="19" xfId="0" applyNumberFormat="1" applyFont="1" applyBorder="1" applyAlignment="1">
      <alignment horizontal="right" vertical="center"/>
    </xf>
    <xf numFmtId="10" fontId="5" fillId="0" borderId="8" xfId="0" applyNumberFormat="1" applyFont="1" applyBorder="1" applyAlignment="1">
      <alignment horizontal="right" vertical="center"/>
    </xf>
    <xf numFmtId="10" fontId="4" fillId="0" borderId="8" xfId="0" applyNumberFormat="1" applyFont="1" applyBorder="1" applyAlignment="1">
      <alignment horizontal="right" vertical="center"/>
    </xf>
    <xf numFmtId="167" fontId="6" fillId="0" borderId="18" xfId="0" applyNumberFormat="1" applyFont="1" applyBorder="1" applyAlignment="1">
      <alignment horizontal="right" vertical="center"/>
    </xf>
    <xf numFmtId="167" fontId="6" fillId="0" borderId="16" xfId="0" applyNumberFormat="1" applyFont="1" applyBorder="1" applyAlignment="1">
      <alignment horizontal="right" vertical="center"/>
    </xf>
    <xf numFmtId="2" fontId="18" fillId="12" borderId="8" xfId="0" applyNumberFormat="1" applyFont="1" applyFill="1" applyBorder="1" applyAlignment="1">
      <alignment horizontal="left"/>
    </xf>
    <xf numFmtId="167" fontId="4" fillId="0" borderId="8" xfId="0" applyNumberFormat="1" applyFont="1" applyBorder="1" applyAlignment="1">
      <alignment vertical="center"/>
    </xf>
    <xf numFmtId="167" fontId="4" fillId="0" borderId="4" xfId="0" applyNumberFormat="1" applyFont="1" applyBorder="1" applyAlignment="1">
      <alignment horizontal="center" vertical="center"/>
    </xf>
    <xf numFmtId="167" fontId="4" fillId="0" borderId="3" xfId="0" applyNumberFormat="1" applyFont="1" applyBorder="1" applyAlignment="1">
      <alignment horizontal="right" vertical="center"/>
    </xf>
    <xf numFmtId="9" fontId="4" fillId="0" borderId="8" xfId="4" applyFont="1" applyBorder="1" applyAlignment="1">
      <alignment horizontal="right" vertical="center"/>
    </xf>
    <xf numFmtId="0" fontId="5" fillId="4" borderId="8" xfId="0" applyFont="1" applyFill="1" applyBorder="1" applyAlignment="1">
      <alignment wrapText="1"/>
    </xf>
    <xf numFmtId="10" fontId="4" fillId="0" borderId="8" xfId="4" applyNumberFormat="1" applyFont="1" applyBorder="1" applyAlignment="1">
      <alignment horizontal="right" vertical="center"/>
    </xf>
    <xf numFmtId="9" fontId="24" fillId="0" borderId="8" xfId="4" applyFont="1" applyFill="1" applyBorder="1" applyAlignment="1" applyProtection="1">
      <alignment horizontal="right" vertical="center"/>
    </xf>
    <xf numFmtId="9" fontId="24" fillId="0" borderId="11" xfId="4" applyFont="1" applyFill="1" applyBorder="1" applyAlignment="1" applyProtection="1">
      <alignment horizontal="right" vertical="center"/>
    </xf>
    <xf numFmtId="9" fontId="24" fillId="0" borderId="4" xfId="4" applyFont="1" applyFill="1" applyBorder="1" applyAlignment="1" applyProtection="1">
      <alignment horizontal="right" vertical="center"/>
    </xf>
    <xf numFmtId="9" fontId="24" fillId="0" borderId="3" xfId="4" applyFont="1" applyFill="1" applyBorder="1" applyAlignment="1" applyProtection="1">
      <alignment horizontal="right" vertical="center"/>
    </xf>
    <xf numFmtId="0" fontId="6" fillId="3" borderId="2" xfId="0" applyFont="1" applyFill="1" applyBorder="1"/>
    <xf numFmtId="0" fontId="6" fillId="3" borderId="3" xfId="0" applyFont="1" applyFill="1" applyBorder="1"/>
    <xf numFmtId="0" fontId="5" fillId="5" borderId="13" xfId="0" applyFont="1" applyFill="1" applyBorder="1" applyAlignment="1">
      <alignment horizontal="center" vertical="center"/>
    </xf>
    <xf numFmtId="0" fontId="5" fillId="5" borderId="12" xfId="0" applyFont="1" applyFill="1" applyBorder="1" applyAlignment="1">
      <alignment horizontal="center" vertical="center"/>
    </xf>
    <xf numFmtId="0" fontId="4" fillId="0" borderId="0" xfId="0" applyFont="1" applyAlignment="1">
      <alignment horizontal="left" vertical="top" wrapText="1"/>
    </xf>
    <xf numFmtId="166" fontId="18" fillId="8" borderId="3" xfId="3" applyNumberFormat="1" applyFont="1" applyFill="1" applyBorder="1" applyAlignment="1" applyProtection="1">
      <alignment horizontal="center" vertical="center" wrapText="1"/>
    </xf>
    <xf numFmtId="0" fontId="18" fillId="8" borderId="3" xfId="0" applyFont="1" applyFill="1" applyBorder="1" applyAlignment="1">
      <alignment horizontal="center" vertical="center" wrapText="1"/>
    </xf>
    <xf numFmtId="0" fontId="28" fillId="0" borderId="16" xfId="0" applyFont="1" applyBorder="1" applyAlignment="1">
      <alignment horizontal="left" vertical="top"/>
    </xf>
    <xf numFmtId="0" fontId="28" fillId="0" borderId="0" xfId="0" applyFont="1" applyAlignment="1">
      <alignment horizontal="left" vertical="top"/>
    </xf>
    <xf numFmtId="0" fontId="28" fillId="0" borderId="0" xfId="0" applyFont="1" applyAlignment="1">
      <alignment horizontal="left" vertical="justify" wrapText="1"/>
    </xf>
    <xf numFmtId="164" fontId="38" fillId="3" borderId="0" xfId="0" applyNumberFormat="1" applyFont="1" applyFill="1" applyAlignment="1">
      <alignment horizontal="left" vertical="top"/>
    </xf>
    <xf numFmtId="164" fontId="38" fillId="3" borderId="0" xfId="0" applyNumberFormat="1" applyFont="1" applyFill="1" applyAlignment="1">
      <alignment vertical="top"/>
    </xf>
    <xf numFmtId="164" fontId="38" fillId="3" borderId="0" xfId="0" applyNumberFormat="1" applyFont="1" applyFill="1" applyAlignment="1">
      <alignment vertical="top" wrapText="1"/>
    </xf>
    <xf numFmtId="166" fontId="18" fillId="8" borderId="3" xfId="3" applyNumberFormat="1" applyFont="1" applyFill="1" applyBorder="1" applyAlignment="1">
      <alignment horizontal="center" vertical="center" wrapText="1"/>
    </xf>
    <xf numFmtId="0" fontId="18" fillId="8" borderId="4" xfId="0" applyFont="1" applyFill="1" applyBorder="1" applyAlignment="1">
      <alignment horizontal="center" vertical="center" wrapText="1"/>
    </xf>
    <xf numFmtId="0" fontId="46" fillId="3" borderId="0" xfId="6" applyFont="1" applyFill="1" applyProtection="1"/>
    <xf numFmtId="0" fontId="45" fillId="0" borderId="0" xfId="10" applyAlignment="1" applyProtection="1">
      <alignment horizontal="left"/>
    </xf>
    <xf numFmtId="164" fontId="47" fillId="0" borderId="0" xfId="0" applyNumberFormat="1" applyFont="1" applyAlignment="1">
      <alignment horizontal="left" vertical="center" wrapText="1"/>
    </xf>
    <xf numFmtId="0" fontId="6" fillId="0" borderId="0" xfId="0" applyFont="1" applyAlignment="1">
      <alignment horizontal="left" vertical="top" wrapText="1"/>
    </xf>
    <xf numFmtId="2" fontId="33" fillId="0" borderId="4" xfId="0" applyNumberFormat="1" applyFont="1" applyBorder="1" applyAlignment="1">
      <alignment horizontal="center" vertical="center"/>
    </xf>
    <xf numFmtId="2" fontId="24" fillId="0" borderId="4" xfId="1" applyNumberFormat="1" applyFont="1" applyFill="1" applyBorder="1" applyAlignment="1" applyProtection="1">
      <alignment horizontal="center" vertical="center"/>
    </xf>
    <xf numFmtId="170" fontId="6" fillId="9" borderId="0" xfId="3" applyNumberFormat="1" applyFont="1" applyFill="1" applyBorder="1" applyAlignment="1" applyProtection="1">
      <alignment horizontal="right" vertical="center"/>
    </xf>
    <xf numFmtId="2" fontId="24" fillId="0" borderId="0" xfId="1" applyNumberFormat="1" applyFont="1" applyFill="1" applyBorder="1" applyAlignment="1" applyProtection="1">
      <alignment horizontal="center" vertical="center"/>
    </xf>
    <xf numFmtId="0" fontId="51" fillId="0" borderId="0" xfId="0" applyFont="1" applyAlignment="1">
      <alignment horizontal="left"/>
    </xf>
    <xf numFmtId="0" fontId="51" fillId="0" borderId="0" xfId="0" applyFont="1" applyAlignment="1" applyProtection="1">
      <alignment horizontal="center"/>
      <protection locked="0"/>
    </xf>
    <xf numFmtId="0" fontId="24" fillId="4" borderId="4" xfId="0" applyFont="1" applyFill="1" applyBorder="1" applyAlignment="1">
      <alignment horizontal="left" vertical="center"/>
    </xf>
    <xf numFmtId="0" fontId="6" fillId="0" borderId="4" xfId="0" applyFont="1" applyBorder="1" applyAlignment="1" applyProtection="1">
      <alignment vertical="center" wrapText="1"/>
      <protection locked="0"/>
    </xf>
    <xf numFmtId="172" fontId="6" fillId="0" borderId="4" xfId="0" applyNumberFormat="1" applyFont="1" applyBorder="1" applyAlignment="1" applyProtection="1">
      <alignment horizontal="center" vertical="center"/>
      <protection locked="0"/>
    </xf>
    <xf numFmtId="168" fontId="24" fillId="0" borderId="16" xfId="0" applyNumberFormat="1" applyFont="1" applyBorder="1" applyAlignment="1">
      <alignment vertical="center"/>
    </xf>
    <xf numFmtId="168" fontId="24" fillId="0" borderId="0" xfId="0" applyNumberFormat="1" applyFont="1" applyAlignment="1">
      <alignment vertical="center"/>
    </xf>
    <xf numFmtId="164" fontId="38" fillId="0" borderId="14" xfId="0" applyNumberFormat="1" applyFont="1" applyBorder="1" applyAlignment="1">
      <alignment horizontal="left" vertical="top" wrapText="1"/>
    </xf>
    <xf numFmtId="164" fontId="38" fillId="0" borderId="0" xfId="0" applyNumberFormat="1" applyFont="1" applyAlignment="1">
      <alignment horizontal="left" vertical="top" wrapText="1"/>
    </xf>
    <xf numFmtId="0" fontId="6" fillId="0" borderId="11" xfId="0" applyFont="1" applyBorder="1" applyAlignment="1">
      <alignment vertical="center"/>
    </xf>
    <xf numFmtId="170" fontId="6" fillId="0" borderId="0" xfId="3" applyNumberFormat="1" applyFont="1" applyFill="1" applyBorder="1" applyAlignment="1" applyProtection="1">
      <alignment horizontal="right" vertical="center"/>
      <protection locked="0"/>
    </xf>
    <xf numFmtId="166" fontId="18" fillId="8" borderId="4" xfId="3" applyNumberFormat="1" applyFont="1" applyFill="1" applyBorder="1" applyAlignment="1">
      <alignment horizontal="center" vertical="center" wrapText="1"/>
    </xf>
    <xf numFmtId="171" fontId="6" fillId="0" borderId="0" xfId="4" applyNumberFormat="1" applyFont="1" applyFill="1" applyBorder="1" applyAlignment="1" applyProtection="1">
      <alignment horizontal="right" vertical="center"/>
      <protection locked="0"/>
    </xf>
    <xf numFmtId="172" fontId="6" fillId="0" borderId="0" xfId="0" applyNumberFormat="1" applyFont="1" applyAlignment="1" applyProtection="1">
      <alignment horizontal="center"/>
      <protection locked="0"/>
    </xf>
    <xf numFmtId="0" fontId="6" fillId="10" borderId="0" xfId="0" applyFont="1" applyFill="1" applyAlignment="1">
      <alignment horizontal="center" vertical="center"/>
    </xf>
    <xf numFmtId="165" fontId="24" fillId="10" borderId="0" xfId="3" applyNumberFormat="1" applyFont="1" applyFill="1" applyBorder="1" applyAlignment="1">
      <alignment horizontal="center" vertical="center"/>
    </xf>
    <xf numFmtId="165" fontId="6" fillId="10" borderId="0" xfId="3" applyNumberFormat="1" applyFont="1" applyFill="1" applyBorder="1" applyAlignment="1">
      <alignment horizontal="center" vertical="center"/>
    </xf>
    <xf numFmtId="0" fontId="6" fillId="0" borderId="0" xfId="0" applyFont="1" applyAlignment="1">
      <alignment horizontal="center" vertical="center"/>
    </xf>
    <xf numFmtId="167" fontId="35" fillId="0" borderId="4" xfId="0" applyNumberFormat="1" applyFont="1" applyBorder="1" applyAlignment="1">
      <alignment vertical="center"/>
    </xf>
    <xf numFmtId="0" fontId="49" fillId="7" borderId="0" xfId="6" applyFont="1" applyFill="1" applyAlignment="1">
      <alignment horizontal="centerContinuous" vertical="top"/>
    </xf>
    <xf numFmtId="0" fontId="4" fillId="3" borderId="3" xfId="0" applyFont="1" applyFill="1" applyBorder="1" applyAlignment="1">
      <alignment vertical="center"/>
    </xf>
    <xf numFmtId="0" fontId="7" fillId="0" borderId="2" xfId="0" applyFont="1" applyBorder="1" applyAlignment="1">
      <alignment horizontal="left" vertical="center" wrapText="1"/>
    </xf>
    <xf numFmtId="0" fontId="9" fillId="0" borderId="13" xfId="0" applyFont="1" applyBorder="1" applyAlignment="1">
      <alignment horizontal="left" vertical="center"/>
    </xf>
    <xf numFmtId="0" fontId="9" fillId="0" borderId="10" xfId="0" applyFont="1" applyBorder="1" applyAlignment="1">
      <alignment horizontal="center" vertical="center"/>
    </xf>
    <xf numFmtId="0" fontId="7" fillId="0" borderId="9" xfId="0" applyFont="1" applyBorder="1" applyAlignment="1">
      <alignment horizontal="left" vertical="center" wrapText="1"/>
    </xf>
    <xf numFmtId="2" fontId="34" fillId="0" borderId="8" xfId="1" applyNumberFormat="1" applyFont="1" applyFill="1" applyBorder="1" applyAlignment="1" applyProtection="1">
      <alignment horizontal="center" vertical="center"/>
    </xf>
    <xf numFmtId="2" fontId="33" fillId="0" borderId="3" xfId="0" applyNumberFormat="1" applyFont="1" applyBorder="1" applyAlignment="1">
      <alignment horizontal="center" vertical="center"/>
    </xf>
    <xf numFmtId="170" fontId="6" fillId="9" borderId="3" xfId="3" applyNumberFormat="1" applyFont="1" applyFill="1" applyBorder="1" applyAlignment="1" applyProtection="1">
      <alignment horizontal="right" vertical="center"/>
    </xf>
    <xf numFmtId="2" fontId="24" fillId="0" borderId="3" xfId="1" applyNumberFormat="1" applyFont="1" applyFill="1" applyBorder="1" applyAlignment="1" applyProtection="1">
      <alignment horizontal="center" vertical="center"/>
    </xf>
    <xf numFmtId="0" fontId="9" fillId="0" borderId="12" xfId="0" applyFont="1" applyBorder="1" applyAlignment="1">
      <alignment horizontal="center" vertical="center"/>
    </xf>
    <xf numFmtId="2" fontId="34" fillId="0" borderId="11" xfId="1" applyNumberFormat="1" applyFont="1" applyFill="1" applyBorder="1" applyAlignment="1" applyProtection="1">
      <alignment horizontal="center" vertical="center"/>
    </xf>
    <xf numFmtId="0" fontId="47" fillId="3" borderId="0" xfId="0" applyFont="1" applyFill="1" applyAlignment="1">
      <alignment horizontal="left" vertical="top" wrapText="1"/>
    </xf>
    <xf numFmtId="0" fontId="18"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50" fillId="0" borderId="16" xfId="0" applyFont="1" applyBorder="1" applyAlignment="1">
      <alignment horizontal="left" vertical="top" wrapText="1"/>
    </xf>
    <xf numFmtId="0" fontId="50" fillId="0" borderId="0" xfId="0" applyFont="1" applyAlignment="1">
      <alignment horizontal="left" vertical="top" wrapText="1"/>
    </xf>
    <xf numFmtId="0" fontId="50" fillId="0" borderId="12" xfId="0" applyFont="1" applyBorder="1" applyAlignment="1">
      <alignment horizontal="left" vertical="top" wrapText="1"/>
    </xf>
    <xf numFmtId="0" fontId="50" fillId="0" borderId="15" xfId="0" applyFont="1" applyBorder="1" applyAlignment="1">
      <alignment horizontal="left" vertical="top" wrapText="1"/>
    </xf>
    <xf numFmtId="2" fontId="24" fillId="0" borderId="16" xfId="0" applyNumberFormat="1" applyFont="1" applyBorder="1" applyAlignment="1">
      <alignment horizontal="left" vertical="center"/>
    </xf>
    <xf numFmtId="2" fontId="24" fillId="0" borderId="0" xfId="0" applyNumberFormat="1" applyFont="1" applyAlignment="1">
      <alignment horizontal="left" vertical="center"/>
    </xf>
    <xf numFmtId="0" fontId="24" fillId="0" borderId="0" xfId="0" applyFont="1" applyAlignment="1">
      <alignment horizontal="left" wrapText="1"/>
    </xf>
    <xf numFmtId="2" fontId="24" fillId="0" borderId="0" xfId="0" applyNumberFormat="1" applyFont="1" applyAlignment="1">
      <alignment horizontal="left" wrapText="1"/>
    </xf>
    <xf numFmtId="164" fontId="47" fillId="0" borderId="0" xfId="0" applyNumberFormat="1" applyFont="1" applyAlignment="1">
      <alignment horizontal="left" vertical="center" wrapText="1"/>
    </xf>
  </cellXfs>
  <cellStyles count="12">
    <cellStyle name="Calculation" xfId="1" builtinId="22"/>
    <cellStyle name="Comma" xfId="5" builtinId="3"/>
    <cellStyle name="Currency" xfId="3" builtinId="4"/>
    <cellStyle name="Heading 1" xfId="6" builtinId="16" customBuiltin="1"/>
    <cellStyle name="Heading 2" xfId="7" builtinId="17" customBuiltin="1"/>
    <cellStyle name="Heading 3" xfId="8" builtinId="18" customBuiltin="1"/>
    <cellStyle name="Heading 4" xfId="9" builtinId="19" customBuiltin="1"/>
    <cellStyle name="Heading 5" xfId="10" xr:uid="{06A91AAA-9A0B-4367-9579-46F6316EDDB6}"/>
    <cellStyle name="Heading 6" xfId="11" xr:uid="{F7C23433-6E77-4EB1-A0A9-3D4C46CE3591}"/>
    <cellStyle name="Hyperlink" xfId="2" builtinId="8"/>
    <cellStyle name="Normal" xfId="0" builtinId="0"/>
    <cellStyle name="Percent" xfId="4" builtinId="5"/>
  </cellStyles>
  <dxfs count="438">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auto="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ont>
        <color theme="1"/>
      </font>
      <fill>
        <patternFill patternType="darkTrellis">
          <bgColor theme="1" tint="0.499984740745262"/>
        </patternFill>
      </fill>
    </dxf>
    <dxf>
      <fill>
        <patternFill patternType="gray0625"/>
      </fill>
    </dxf>
    <dxf>
      <fill>
        <patternFill patternType="gray0625"/>
      </fill>
    </dxf>
    <dxf>
      <font>
        <color theme="1"/>
      </font>
      <fill>
        <patternFill patternType="darkTrellis">
          <bgColor theme="1" tint="0.499984740745262"/>
        </patternFill>
      </fill>
    </dxf>
    <dxf>
      <font>
        <color theme="1"/>
      </font>
      <fill>
        <patternFill patternType="darkTrellis">
          <bgColor theme="1" tint="0.499984740745262"/>
        </patternFill>
      </fill>
    </dxf>
    <dxf>
      <fill>
        <patternFill patternType="gray0625"/>
      </fill>
    </dxf>
    <dxf>
      <font>
        <color theme="1"/>
      </font>
      <fill>
        <patternFill patternType="darkTrellis">
          <bgColor theme="1" tint="0.499984740745262"/>
        </patternFill>
      </fill>
    </dxf>
    <dxf>
      <font>
        <color theme="1"/>
      </font>
      <fill>
        <patternFill patternType="darkTrellis">
          <bgColor theme="1" tint="0.499984740745262"/>
        </patternFill>
      </fill>
    </dxf>
    <dxf>
      <fill>
        <patternFill patternType="gray0625"/>
      </fill>
    </dxf>
    <dxf>
      <fill>
        <patternFill patternType="gray0625"/>
      </fill>
    </dxf>
    <dxf>
      <font>
        <color theme="1"/>
      </font>
      <fill>
        <patternFill patternType="darkTrellis">
          <bgColor theme="1" tint="0.499984740745262"/>
        </patternFill>
      </fill>
    </dxf>
    <dxf>
      <font>
        <color theme="1"/>
      </font>
      <fill>
        <patternFill patternType="darkTrellis">
          <fgColor auto="1"/>
          <bgColor theme="1" tint="0.499984740745262"/>
        </patternFill>
      </fill>
    </dxf>
    <dxf>
      <font>
        <color theme="1"/>
      </font>
      <fill>
        <patternFill patternType="darkGray">
          <bgColor theme="1" tint="0.499984740745262"/>
        </patternFill>
      </fill>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bottom" textRotation="0" wrapText="0" indent="0" justifyLastLine="0" shrinkToFit="0" readingOrder="0"/>
      <protection locked="1" hidden="0"/>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numFmt numFmtId="167"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outline="0">
        <bottom style="thin">
          <color indexed="64"/>
        </bottom>
      </border>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left" vertical="bottom" textRotation="0" wrapText="0" indent="0" justifyLastLine="0" shrinkToFit="0" readingOrder="0"/>
      <protection locked="1" hidden="0"/>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67" formatCode="&quot;$&quot;#,##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alignment horizontal="left" vertical="center" textRotation="0" wrapText="0" indent="0" justifyLastLine="0" shrinkToFit="0" readingOrder="0"/>
      <protection locked="1" hidden="0"/>
    </dxf>
    <dxf>
      <border outline="0">
        <right style="thin">
          <color indexed="64"/>
        </right>
        <bottom style="thin">
          <color indexed="64"/>
        </bottom>
      </border>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theme="1"/>
        <name val="Gill Sans MT"/>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178" formatCode="&quot;• &quot;\ &quot;$&quot;#,##0"/>
      <alignment horizontal="right"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protection locked="0" hidden="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8"/>
        <color auto="1"/>
        <name val="Arial"/>
        <family val="2"/>
        <scheme val="none"/>
      </font>
      <numFmt numFmtId="179" formatCode="&quot;• &quot;\ 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8"/>
        <color auto="1"/>
        <name val="Arial"/>
        <family val="2"/>
        <scheme val="none"/>
      </font>
      <numFmt numFmtId="179" formatCode="&quot;• &quot;\ 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border>
      <protection locked="1" hidden="0"/>
    </dxf>
    <dxf>
      <font>
        <b val="0"/>
        <i/>
        <strike val="0"/>
        <condense val="0"/>
        <extend val="0"/>
        <outline val="0"/>
        <shadow val="0"/>
        <u val="none"/>
        <vertAlign val="baseline"/>
        <sz val="18"/>
        <color auto="1"/>
        <name val="Arial"/>
        <family val="2"/>
        <scheme val="none"/>
      </font>
      <numFmt numFmtId="1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8"/>
        <color auto="1"/>
        <name val="Arial"/>
        <family val="2"/>
        <scheme val="none"/>
      </font>
      <numFmt numFmtId="171" formatCode="&quot;*&quot;\ 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border>
      <protection locked="0" hidden="0"/>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border outline="0">
        <right style="thin">
          <color indexed="64"/>
        </right>
        <bottom style="thin">
          <color indexed="64"/>
        </bottom>
      </border>
    </dxf>
    <dxf>
      <font>
        <b val="0"/>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8"/>
        <color auto="1"/>
        <name val="Arial"/>
        <family val="2"/>
        <scheme val="none"/>
      </font>
      <numFmt numFmtId="167" formatCode="&quot;$&quot;#,##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numFmt numFmtId="2" formatCode="0.00"/>
      <fill>
        <patternFill patternType="darkUp">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3"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theme="1"/>
        <name val="Gill Sans MT"/>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8"/>
        <color auto="1"/>
        <name val="Arial"/>
        <family val="2"/>
        <scheme val="none"/>
      </font>
      <numFmt numFmtId="172" formatCode="&quot;*&quot;\ Genera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strike val="0"/>
        <condense val="0"/>
        <extend val="0"/>
        <outline val="0"/>
        <shadow val="0"/>
        <u val="none"/>
        <vertAlign val="baseline"/>
        <sz val="18"/>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8"/>
        <color auto="1"/>
        <name val="Arial"/>
        <family val="2"/>
        <scheme val="none"/>
      </font>
      <numFmt numFmtId="172" formatCode="&quot;*&quot;\ General"/>
      <alignment horizontal="center" vertical="bottom" textRotation="0" wrapText="0" indent="0" justifyLastLine="0" shrinkToFit="0" readingOrder="0"/>
      <border diagonalUp="0" diagonalDown="0">
        <left/>
        <right style="thin">
          <color indexed="64"/>
        </right>
        <top style="thin">
          <color indexed="64"/>
        </top>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family val="2"/>
        <scheme val="none"/>
      </font>
      <alignment horizontal="left" vertical="center" textRotation="0" wrapText="0" indent="0" justifyLastLine="0" shrinkToFit="0" readingOrder="0"/>
      <border diagonalUp="0" diagonalDown="0">
        <left style="medium">
          <color indexed="64"/>
        </left>
        <right style="medium">
          <color indexed="64"/>
        </right>
        <top style="medium">
          <color indexed="64"/>
        </top>
        <bottom/>
        <vertical/>
        <horizontal/>
      </border>
      <protection locked="0" hidden="0"/>
    </dxf>
    <dxf>
      <border outline="0">
        <bottom style="medium">
          <color indexed="64"/>
        </bottom>
      </border>
    </dxf>
    <dxf>
      <font>
        <b/>
        <i val="0"/>
        <strike val="0"/>
        <condense val="0"/>
        <extend val="0"/>
        <outline val="0"/>
        <shadow val="0"/>
        <u val="none"/>
        <vertAlign val="baseline"/>
        <sz val="18"/>
        <color auto="1"/>
        <name val="Arial"/>
        <family val="2"/>
        <scheme val="none"/>
      </font>
      <alignment horizontal="left" vertical="center" textRotation="0" wrapText="0" indent="0" justifyLastLine="0" shrinkToFit="0" readingOrder="0"/>
      <protection locked="0" hidden="0"/>
    </dxf>
    <dxf>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i/>
        <strike val="0"/>
        <outline val="0"/>
        <shadow val="0"/>
        <u val="none"/>
        <vertAlign val="baseline"/>
        <sz val="16"/>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8"/>
        <color auto="1"/>
        <name val="Arial"/>
        <family val="2"/>
        <scheme val="none"/>
      </font>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8"/>
        <color auto="1"/>
        <name val="Arial"/>
        <family val="2"/>
        <scheme val="none"/>
      </font>
      <fill>
        <patternFill patternType="solid">
          <fgColor indexed="64"/>
          <bgColor theme="5" tint="0.59999389629810485"/>
        </patternFill>
      </fill>
      <alignment horizontal="center" vertical="center" textRotation="0" wrapText="1" indent="0" justifyLastLine="0" shrinkToFit="0" readingOrder="0"/>
    </dxf>
    <dxf>
      <font>
        <b val="0"/>
        <i/>
        <strike val="0"/>
        <condense val="0"/>
        <extend val="0"/>
        <outline val="0"/>
        <shadow val="0"/>
        <u val="none"/>
        <vertAlign val="baseline"/>
        <sz val="18"/>
        <color auto="1"/>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alignment horizontal="left"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8"/>
        <color auto="1"/>
        <name val="Arial"/>
        <family val="2"/>
        <scheme val="none"/>
      </font>
      <numFmt numFmtId="174" formatCode="&quot;*&quot;\ 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strike val="0"/>
        <condense val="0"/>
        <extend val="0"/>
        <outline val="0"/>
        <shadow val="0"/>
        <u val="none"/>
        <vertAlign val="baseline"/>
        <sz val="18"/>
        <color auto="1"/>
        <name val="Arial"/>
        <family val="2"/>
        <scheme val="none"/>
      </font>
      <numFmt numFmtId="1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numFmt numFmtId="2" formatCode="0.00"/>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0" hidden="0"/>
    </dxf>
    <dxf>
      <font>
        <b val="0"/>
        <i val="0"/>
        <strike val="0"/>
        <condense val="0"/>
        <extend val="0"/>
        <outline val="0"/>
        <shadow val="0"/>
        <u val="none"/>
        <vertAlign val="baseline"/>
        <sz val="18"/>
        <color auto="1"/>
        <name val="Arial"/>
        <family val="2"/>
        <scheme val="none"/>
      </font>
      <numFmt numFmtId="175" formatCode="&quot;*&quot;\ 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8"/>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8"/>
        <color auto="1"/>
        <name val="Arial"/>
        <family val="2"/>
        <scheme val="none"/>
      </font>
      <numFmt numFmtId="173" formatCode="&quot;*&quot;\ &quot;$&quot;#,##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8"/>
        <color auto="1"/>
        <name val="Arial"/>
        <family val="2"/>
        <scheme val="none"/>
      </font>
      <numFmt numFmtId="171" formatCode="&quot;*&quot;\ 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alignment horizontal="left" vertical="bottom" textRotation="0" wrapText="0" indent="0" justifyLastLine="0" shrinkToFit="0" readingOrder="0"/>
    </dxf>
    <dxf>
      <font>
        <b val="0"/>
        <i val="0"/>
        <strike val="0"/>
        <condense val="0"/>
        <extend val="0"/>
        <outline val="0"/>
        <shadow val="0"/>
        <u val="none"/>
        <vertAlign val="baseline"/>
        <sz val="18"/>
        <color auto="1"/>
        <name val="Arial"/>
        <family val="2"/>
        <scheme val="none"/>
      </font>
      <numFmt numFmtId="171" formatCode="&quot;*&quot;\ 0%"/>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8"/>
        <color auto="1"/>
        <name val="Arial"/>
        <family val="2"/>
        <scheme val="none"/>
      </font>
      <numFmt numFmtId="171" formatCode="&quot;*&quot;\ 0%"/>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8"/>
        <color auto="1"/>
        <name val="Arial"/>
        <family val="2"/>
        <scheme val="none"/>
      </font>
      <numFmt numFmtId="171" formatCode="&quot;*&quot;\ 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8"/>
        <color auto="1"/>
        <name val="Arial"/>
        <family val="2"/>
        <scheme val="none"/>
      </font>
      <fill>
        <patternFill patternType="solid">
          <fgColor indexed="64"/>
          <bgColor rgb="FFFFFFCC"/>
        </patternFill>
      </fill>
      <alignment horizontal="general" vertical="bottom" textRotation="0" wrapText="1" indent="0" justifyLastLine="0" shrinkToFit="0" readingOrder="0"/>
    </dxf>
    <dxf>
      <font>
        <b/>
        <i val="0"/>
        <strike val="0"/>
        <condense val="0"/>
        <extend val="0"/>
        <outline val="0"/>
        <shadow val="0"/>
        <u val="none"/>
        <vertAlign val="baseline"/>
        <sz val="18"/>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numFmt numFmtId="170" formatCode="&quot;*&quot;\ &quot;$&quot;#,##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8"/>
        <color auto="1"/>
        <name val="Arial"/>
        <family val="2"/>
        <scheme val="none"/>
      </font>
      <fill>
        <patternFill patternType="solid">
          <fgColor indexed="64"/>
          <bgColor rgb="FFFFFFCC"/>
        </patternFill>
      </fill>
      <alignment horizontal="left" vertical="center" textRotation="0" wrapText="0" indent="3"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8"/>
        <color theme="10"/>
        <name val="Arial"/>
        <family val="2"/>
        <scheme val="none"/>
      </font>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8"/>
        <color theme="1"/>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rgb="FF002060"/>
        <name val="Arial"/>
        <family val="2"/>
        <scheme val="none"/>
      </font>
      <fill>
        <patternFill patternType="solid">
          <fgColor indexed="64"/>
          <bgColor theme="9"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8"/>
        <color auto="1"/>
        <name val="Arial"/>
        <family val="2"/>
        <scheme val="none"/>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family val="2"/>
        <scheme val="none"/>
      </font>
      <fill>
        <patternFill patternType="solid">
          <fgColor indexed="64"/>
          <bgColor theme="9" tint="0.79998168889431442"/>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8"/>
        <color auto="1"/>
        <name val="Arial"/>
        <family val="2"/>
        <scheme val="none"/>
      </font>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8"/>
        <color theme="1"/>
        <name val="Arial"/>
        <family val="2"/>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theme="1"/>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auto="1"/>
        <name val="Arial"/>
        <family val="2"/>
        <scheme val="none"/>
      </font>
      <fill>
        <patternFill patternType="solid">
          <fgColor indexed="64"/>
          <bgColor theme="9" tint="0.79998168889431442"/>
        </patternFill>
      </fill>
      <alignment horizontal="left" vertical="top"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8"/>
        <color auto="1"/>
        <name val="Arial"/>
        <family val="2"/>
        <scheme val="none"/>
      </font>
      <fill>
        <patternFill patternType="solid">
          <fgColor indexed="64"/>
          <bgColor theme="9" tint="0.79998168889431442"/>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8"/>
        <color auto="1"/>
        <name val="Arial"/>
        <family val="2"/>
        <scheme val="none"/>
      </font>
      <fill>
        <patternFill patternType="solid">
          <fgColor indexed="64"/>
          <bgColor theme="6"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B0000"/>
      <color rgb="FFFFFFCC"/>
      <color rgb="FFE6BA1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solidFill>
                  <a:sysClr val="windowText" lastClr="000000"/>
                </a:solidFill>
              </a:rPr>
              <a:t>Operating Income</a:t>
            </a:r>
          </a:p>
        </c:rich>
      </c:tx>
      <c:layout>
        <c:manualLayout>
          <c:xMode val="edge"/>
          <c:yMode val="edge"/>
          <c:x val="0.44995551342675871"/>
          <c:y val="1.5508880564116196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163238352556992"/>
          <c:y val="0.10185207484615563"/>
          <c:w val="0.87130790201524855"/>
          <c:h val="0.79447942867415078"/>
        </c:manualLayout>
      </c:layout>
      <c:barChart>
        <c:barDir val="col"/>
        <c:grouping val="clustered"/>
        <c:varyColors val="0"/>
        <c:ser>
          <c:idx val="0"/>
          <c:order val="0"/>
          <c:spPr>
            <a:pattFill prst="pct5">
              <a:fgClr>
                <a:srgbClr val="002060"/>
              </a:fgClr>
              <a:bgClr>
                <a:schemeClr val="accent2">
                  <a:lumMod val="60000"/>
                  <a:lumOff val="40000"/>
                </a:schemeClr>
              </a:bgClr>
            </a:pattFill>
            <a:ln>
              <a:solidFill>
                <a:schemeClr val="tx1"/>
              </a:solidFill>
            </a:ln>
            <a:effectLst/>
          </c:spPr>
          <c:invertIfNegative val="0"/>
          <c:cat>
            <c:strRef>
              <c:f>Outputs!$E$61:$N$61</c:f>
              <c:strCache>
                <c:ptCount val="10"/>
                <c:pt idx="0">
                  <c:v>Operational Year 3</c:v>
                </c:pt>
                <c:pt idx="1">
                  <c:v>Operational Year 4</c:v>
                </c:pt>
                <c:pt idx="2">
                  <c:v>Operational Year 5</c:v>
                </c:pt>
                <c:pt idx="3">
                  <c:v>Operational Year 6</c:v>
                </c:pt>
                <c:pt idx="4">
                  <c:v>Operational Year 7</c:v>
                </c:pt>
                <c:pt idx="5">
                  <c:v>Operational Year 8</c:v>
                </c:pt>
                <c:pt idx="6">
                  <c:v>Operational Year 9</c:v>
                </c:pt>
                <c:pt idx="7">
                  <c:v>Operational Year 10</c:v>
                </c:pt>
                <c:pt idx="8">
                  <c:v>Operational Year 11</c:v>
                </c:pt>
                <c:pt idx="9">
                  <c:v>Operational Year 12</c:v>
                </c:pt>
              </c:strCache>
            </c:strRef>
          </c:cat>
          <c:val>
            <c:numRef>
              <c:f>Outputs!$E$62:$N$62</c:f>
              <c:numCache>
                <c:formatCode>"$"#,##0</c:formatCode>
                <c:ptCount val="10"/>
                <c:pt idx="0">
                  <c:v>22258.961899999995</c:v>
                </c:pt>
                <c:pt idx="1">
                  <c:v>26518.707744874962</c:v>
                </c:pt>
                <c:pt idx="2">
                  <c:v>31167.321710421689</c:v>
                </c:pt>
                <c:pt idx="3">
                  <c:v>36236.056553341361</c:v>
                </c:pt>
                <c:pt idx="4">
                  <c:v>-8241.4119079039083</c:v>
                </c:pt>
                <c:pt idx="5">
                  <c:v>47771.200966344972</c:v>
                </c:pt>
                <c:pt idx="6">
                  <c:v>54312.98858556099</c:v>
                </c:pt>
                <c:pt idx="7">
                  <c:v>61426.06834938057</c:v>
                </c:pt>
                <c:pt idx="8">
                  <c:v>69155.813304795622</c:v>
                </c:pt>
                <c:pt idx="9">
                  <c:v>77551.101494155504</c:v>
                </c:pt>
              </c:numCache>
            </c:numRef>
          </c:val>
          <c:extLst>
            <c:ext xmlns:c16="http://schemas.microsoft.com/office/drawing/2014/chart" uri="{C3380CC4-5D6E-409C-BE32-E72D297353CC}">
              <c16:uniqueId val="{00000002-5D3F-4449-9E7C-AEEA094FCCA5}"/>
            </c:ext>
          </c:extLst>
        </c:ser>
        <c:dLbls>
          <c:showLegendKey val="0"/>
          <c:showVal val="0"/>
          <c:showCatName val="0"/>
          <c:showSerName val="0"/>
          <c:showPercent val="0"/>
          <c:showBubbleSize val="0"/>
        </c:dLbls>
        <c:gapWidth val="150"/>
        <c:axId val="453461247"/>
        <c:axId val="783693599"/>
      </c:barChart>
      <c:catAx>
        <c:axId val="453461247"/>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baseline="0">
                    <a:solidFill>
                      <a:sysClr val="windowText" lastClr="000000"/>
                    </a:solidFill>
                  </a:rPr>
                  <a:t>Duration of Operations - Years</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crossAx val="783693599"/>
        <c:crosses val="autoZero"/>
        <c:auto val="1"/>
        <c:lblAlgn val="ctr"/>
        <c:lblOffset val="100"/>
        <c:noMultiLvlLbl val="0"/>
      </c:catAx>
      <c:valAx>
        <c:axId val="783693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Operating Income </a:t>
                </a:r>
                <a:r>
                  <a:rPr lang="en-US" sz="1800" baseline="0">
                    <a:solidFill>
                      <a:sysClr val="windowText" lastClr="000000"/>
                    </a:solidFill>
                  </a:rPr>
                  <a:t>($) (Nominal)</a:t>
                </a:r>
                <a:endParaRPr lang="en-US" sz="18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53461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solidFill>
                  <a:sysClr val="windowText" lastClr="000000"/>
                </a:solidFill>
              </a:rPr>
              <a:t>Cash Flows - Performance P3</a:t>
            </a:r>
          </a:p>
        </c:rich>
      </c:tx>
      <c:layout>
        <c:manualLayout>
          <c:xMode val="edge"/>
          <c:yMode val="edge"/>
          <c:x val="0.35153538208656321"/>
          <c:y val="1.749896188349590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Free Cash Flows</c:v>
          </c:tx>
          <c:spPr>
            <a:ln w="38100" cap="rnd">
              <a:solidFill>
                <a:schemeClr val="accent5">
                  <a:lumMod val="75000"/>
                </a:schemeClr>
              </a:solidFill>
              <a:prstDash val="sysDash"/>
              <a:round/>
            </a:ln>
            <a:effectLst/>
          </c:spPr>
          <c:marker>
            <c:symbol val="circle"/>
            <c:size val="6"/>
            <c:spPr>
              <a:solidFill>
                <a:schemeClr val="tx1"/>
              </a:solidFill>
              <a:ln w="9525">
                <a:solidFill>
                  <a:schemeClr val="tx1"/>
                </a:solidFill>
              </a:ln>
              <a:effectLst/>
            </c:spPr>
          </c:marker>
          <c:cat>
            <c:strRef>
              <c:f>DCF!$B$9:$N$9</c:f>
              <c:strCache>
                <c:ptCount val="13"/>
                <c:pt idx="0">
                  <c:v>Planning and Construction Year 0</c:v>
                </c:pt>
                <c:pt idx="1">
                  <c:v>Planning and Construction Year 1</c:v>
                </c:pt>
                <c:pt idx="2">
                  <c:v>Planning and Construction Year 2</c:v>
                </c:pt>
                <c:pt idx="3">
                  <c:v>Operational Year 3</c:v>
                </c:pt>
                <c:pt idx="4">
                  <c:v>Operational Year 4</c:v>
                </c:pt>
                <c:pt idx="5">
                  <c:v>Operational Year 5</c:v>
                </c:pt>
                <c:pt idx="6">
                  <c:v>Operational Year 6</c:v>
                </c:pt>
                <c:pt idx="7">
                  <c:v>Operational Year 7</c:v>
                </c:pt>
                <c:pt idx="8">
                  <c:v>Operational Year 8</c:v>
                </c:pt>
                <c:pt idx="9">
                  <c:v>Operational Year 9</c:v>
                </c:pt>
                <c:pt idx="10">
                  <c:v>Operational Year 10</c:v>
                </c:pt>
                <c:pt idx="11">
                  <c:v>Operational Year 11</c:v>
                </c:pt>
                <c:pt idx="12">
                  <c:v>Operational Year 12</c:v>
                </c:pt>
              </c:strCache>
            </c:strRef>
          </c:cat>
          <c:val>
            <c:numRef>
              <c:f>DCF!$B$14:$N$14</c:f>
              <c:numCache>
                <c:formatCode>"$"#,##0</c:formatCode>
                <c:ptCount val="13"/>
                <c:pt idx="0">
                  <c:v>-650000</c:v>
                </c:pt>
                <c:pt idx="1">
                  <c:v>-325000</c:v>
                </c:pt>
                <c:pt idx="2">
                  <c:v>-325000</c:v>
                </c:pt>
                <c:pt idx="3">
                  <c:v>158777.62896523054</c:v>
                </c:pt>
                <c:pt idx="4">
                  <c:v>176689.24151662856</c:v>
                </c:pt>
                <c:pt idx="5">
                  <c:v>196354.90885935066</c:v>
                </c:pt>
                <c:pt idx="6">
                  <c:v>217942.40241716325</c:v>
                </c:pt>
                <c:pt idx="7">
                  <c:v>191635.5685423002</c:v>
                </c:pt>
                <c:pt idx="8">
                  <c:v>267635.87946156948</c:v>
                </c:pt>
                <c:pt idx="9">
                  <c:v>296164.13493030798</c:v>
                </c:pt>
                <c:pt idx="10">
                  <c:v>327462.3293286023</c:v>
                </c:pt>
                <c:pt idx="11">
                  <c:v>361795.70038193953</c:v>
                </c:pt>
                <c:pt idx="12">
                  <c:v>399454.97727901384</c:v>
                </c:pt>
              </c:numCache>
            </c:numRef>
          </c:val>
          <c:smooth val="0"/>
          <c:extLst>
            <c:ext xmlns:c16="http://schemas.microsoft.com/office/drawing/2014/chart" uri="{C3380CC4-5D6E-409C-BE32-E72D297353CC}">
              <c16:uniqueId val="{00000000-EAB1-421F-BED4-18ED76A9B5F8}"/>
            </c:ext>
          </c:extLst>
        </c:ser>
        <c:ser>
          <c:idx val="1"/>
          <c:order val="1"/>
          <c:tx>
            <c:v>Discounted Cash Flows</c:v>
          </c:tx>
          <c:spPr>
            <a:ln w="38100" cap="rnd">
              <a:solidFill>
                <a:schemeClr val="accent4">
                  <a:lumMod val="75000"/>
                </a:schemeClr>
              </a:solidFill>
              <a:round/>
            </a:ln>
            <a:effectLst/>
          </c:spPr>
          <c:marker>
            <c:symbol val="circle"/>
            <c:size val="6"/>
            <c:spPr>
              <a:solidFill>
                <a:schemeClr val="tx1"/>
              </a:solidFill>
              <a:ln w="9525">
                <a:solidFill>
                  <a:schemeClr val="tx1"/>
                </a:solidFill>
              </a:ln>
              <a:effectLst/>
            </c:spPr>
          </c:marker>
          <c:val>
            <c:numRef>
              <c:f>DCF!$B$16:$N$16</c:f>
              <c:numCache>
                <c:formatCode>"$"#,##0</c:formatCode>
                <c:ptCount val="13"/>
                <c:pt idx="0">
                  <c:v>-650000</c:v>
                </c:pt>
                <c:pt idx="1">
                  <c:v>-295454.54545454547</c:v>
                </c:pt>
                <c:pt idx="2">
                  <c:v>-268595.04132231401</c:v>
                </c:pt>
                <c:pt idx="3">
                  <c:v>119291.98269363673</c:v>
                </c:pt>
                <c:pt idx="4">
                  <c:v>120681.12937410595</c:v>
                </c:pt>
                <c:pt idx="5">
                  <c:v>121920.94979810779</c:v>
                </c:pt>
                <c:pt idx="6">
                  <c:v>123022.80441777798</c:v>
                </c:pt>
                <c:pt idx="7">
                  <c:v>98339.347739238336</c:v>
                </c:pt>
                <c:pt idx="8">
                  <c:v>124854.11297774471</c:v>
                </c:pt>
                <c:pt idx="9">
                  <c:v>125602.5042712908</c:v>
                </c:pt>
                <c:pt idx="10">
                  <c:v>126250.90361360587</c:v>
                </c:pt>
                <c:pt idx="11">
                  <c:v>126807.1858424674</c:v>
                </c:pt>
                <c:pt idx="12">
                  <c:v>127278.66604888409</c:v>
                </c:pt>
              </c:numCache>
            </c:numRef>
          </c:val>
          <c:smooth val="0"/>
          <c:extLst>
            <c:ext xmlns:c16="http://schemas.microsoft.com/office/drawing/2014/chart" uri="{C3380CC4-5D6E-409C-BE32-E72D297353CC}">
              <c16:uniqueId val="{00000001-B750-4AF5-A2C1-BE58EF189062}"/>
            </c:ext>
          </c:extLst>
        </c:ser>
        <c:ser>
          <c:idx val="2"/>
          <c:order val="2"/>
          <c:tx>
            <c:v>Cumulative Discounted Cash Flow</c:v>
          </c:tx>
          <c:spPr>
            <a:ln w="38100" cap="rnd">
              <a:solidFill>
                <a:schemeClr val="accent6">
                  <a:lumMod val="75000"/>
                </a:schemeClr>
              </a:solidFill>
              <a:prstDash val="lgDash"/>
              <a:round/>
            </a:ln>
            <a:effectLst/>
          </c:spPr>
          <c:marker>
            <c:symbol val="circle"/>
            <c:size val="5"/>
            <c:spPr>
              <a:solidFill>
                <a:schemeClr val="tx1"/>
              </a:solidFill>
              <a:ln w="9525">
                <a:solidFill>
                  <a:schemeClr val="tx1"/>
                </a:solidFill>
              </a:ln>
              <a:effectLst/>
            </c:spPr>
          </c:marker>
          <c:val>
            <c:numRef>
              <c:f>DCF!$B$17:$N$17</c:f>
              <c:numCache>
                <c:formatCode>"$"#,##0</c:formatCode>
                <c:ptCount val="13"/>
                <c:pt idx="0">
                  <c:v>-650000</c:v>
                </c:pt>
                <c:pt idx="1">
                  <c:v>-945454.54545454541</c:v>
                </c:pt>
                <c:pt idx="2">
                  <c:v>-1214049.5867768594</c:v>
                </c:pt>
                <c:pt idx="3">
                  <c:v>-1094757.6040832226</c:v>
                </c:pt>
                <c:pt idx="4">
                  <c:v>-974076.47470911662</c:v>
                </c:pt>
                <c:pt idx="5">
                  <c:v>-852155.52491100878</c:v>
                </c:pt>
                <c:pt idx="6">
                  <c:v>-729132.72049323074</c:v>
                </c:pt>
                <c:pt idx="7">
                  <c:v>-630793.37275399244</c:v>
                </c:pt>
                <c:pt idx="8">
                  <c:v>-505939.25977624772</c:v>
                </c:pt>
                <c:pt idx="9">
                  <c:v>-380336.75550495693</c:v>
                </c:pt>
                <c:pt idx="10">
                  <c:v>-254085.85189135105</c:v>
                </c:pt>
                <c:pt idx="11">
                  <c:v>-127278.66604888365</c:v>
                </c:pt>
                <c:pt idx="12">
                  <c:v>4.3655745685100555E-10</c:v>
                </c:pt>
              </c:numCache>
            </c:numRef>
          </c:val>
          <c:smooth val="0"/>
          <c:extLst>
            <c:ext xmlns:c16="http://schemas.microsoft.com/office/drawing/2014/chart" uri="{C3380CC4-5D6E-409C-BE32-E72D297353CC}">
              <c16:uniqueId val="{00000002-B750-4AF5-A2C1-BE58EF189062}"/>
            </c:ext>
          </c:extLst>
        </c:ser>
        <c:dLbls>
          <c:showLegendKey val="0"/>
          <c:showVal val="0"/>
          <c:showCatName val="0"/>
          <c:showSerName val="0"/>
          <c:showPercent val="0"/>
          <c:showBubbleSize val="0"/>
        </c:dLbls>
        <c:marker val="1"/>
        <c:smooth val="0"/>
        <c:axId val="453461247"/>
        <c:axId val="783693599"/>
      </c:lineChart>
      <c:catAx>
        <c:axId val="453461247"/>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Project</a:t>
                </a:r>
                <a:r>
                  <a:rPr lang="en-US" sz="1800" baseline="0">
                    <a:solidFill>
                      <a:sysClr val="windowText" lastClr="000000"/>
                    </a:solidFill>
                  </a:rPr>
                  <a:t> Duration - Years</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783693599"/>
        <c:crosses val="autoZero"/>
        <c:auto val="1"/>
        <c:lblAlgn val="ctr"/>
        <c:lblOffset val="100"/>
        <c:noMultiLvlLbl val="0"/>
      </c:catAx>
      <c:valAx>
        <c:axId val="783693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Cash</a:t>
                </a:r>
                <a:r>
                  <a:rPr lang="en-US" sz="1800" baseline="0">
                    <a:solidFill>
                      <a:sysClr val="windowText" lastClr="000000"/>
                    </a:solidFill>
                  </a:rPr>
                  <a:t> ($)</a:t>
                </a:r>
                <a:endParaRPr lang="en-US" sz="18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53461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solidFill>
                  <a:sysClr val="windowText" lastClr="000000"/>
                </a:solidFill>
              </a:rPr>
              <a:t>Costs </a:t>
            </a:r>
            <a:r>
              <a:rPr lang="en-US" sz="2400" b="1" baseline="0">
                <a:solidFill>
                  <a:sysClr val="windowText" lastClr="000000"/>
                </a:solidFill>
              </a:rPr>
              <a:t>- Operation Phase</a:t>
            </a:r>
            <a:endParaRPr lang="en-US" sz="2400" b="1">
              <a:solidFill>
                <a:sysClr val="windowText" lastClr="000000"/>
              </a:solidFill>
            </a:endParaRPr>
          </a:p>
        </c:rich>
      </c:tx>
      <c:layout>
        <c:manualLayout>
          <c:xMode val="edge"/>
          <c:yMode val="edge"/>
          <c:x val="0.3743207544761929"/>
          <c:y val="1.951383650496115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O&amp;M Costs</c:v>
          </c:tx>
          <c:spPr>
            <a:pattFill prst="dkDnDiag">
              <a:fgClr>
                <a:schemeClr val="tx1"/>
              </a:fgClr>
              <a:bgClr>
                <a:schemeClr val="accent1">
                  <a:lumMod val="60000"/>
                  <a:lumOff val="40000"/>
                </a:schemeClr>
              </a:bgClr>
            </a:pattFill>
            <a:ln>
              <a:solidFill>
                <a:sysClr val="windowText" lastClr="000000"/>
              </a:solidFill>
            </a:ln>
            <a:effectLst/>
          </c:spPr>
          <c:invertIfNegative val="0"/>
          <c:cat>
            <c:strRef>
              <c:f>Outputs!$E$8:$N$8</c:f>
              <c:strCache>
                <c:ptCount val="10"/>
                <c:pt idx="0">
                  <c:v>Operational Year 3</c:v>
                </c:pt>
                <c:pt idx="1">
                  <c:v>Operational Year 4</c:v>
                </c:pt>
                <c:pt idx="2">
                  <c:v>Operational Year 5</c:v>
                </c:pt>
                <c:pt idx="3">
                  <c:v>Operational Year 6</c:v>
                </c:pt>
                <c:pt idx="4">
                  <c:v>Operational Year 7</c:v>
                </c:pt>
                <c:pt idx="5">
                  <c:v>Operational Year 8</c:v>
                </c:pt>
                <c:pt idx="6">
                  <c:v>Operational Year 9</c:v>
                </c:pt>
                <c:pt idx="7">
                  <c:v>Operational Year 10</c:v>
                </c:pt>
                <c:pt idx="8">
                  <c:v>Operational Year 11</c:v>
                </c:pt>
                <c:pt idx="9">
                  <c:v>Operational Year 12</c:v>
                </c:pt>
              </c:strCache>
            </c:strRef>
          </c:cat>
          <c:val>
            <c:numRef>
              <c:f>Outputs!$E$10:$N$10</c:f>
              <c:numCache>
                <c:formatCode>"$"#,##0</c:formatCode>
                <c:ptCount val="10"/>
                <c:pt idx="0">
                  <c:v>100000</c:v>
                </c:pt>
                <c:pt idx="1">
                  <c:v>105062.5</c:v>
                </c:pt>
                <c:pt idx="2">
                  <c:v>110446.95312499999</c:v>
                </c:pt>
                <c:pt idx="3">
                  <c:v>116176.30673828122</c:v>
                </c:pt>
                <c:pt idx="4">
                  <c:v>122275.21790051265</c:v>
                </c:pt>
                <c:pt idx="5">
                  <c:v>128770.18273320017</c:v>
                </c:pt>
                <c:pt idx="6">
                  <c:v>135689.67562107445</c:v>
                </c:pt>
                <c:pt idx="7">
                  <c:v>143064.29900301082</c:v>
                </c:pt>
                <c:pt idx="8">
                  <c:v>150926.94455821562</c:v>
                </c:pt>
                <c:pt idx="9">
                  <c:v>159312.96665591036</c:v>
                </c:pt>
              </c:numCache>
            </c:numRef>
          </c:val>
          <c:extLst>
            <c:ext xmlns:c16="http://schemas.microsoft.com/office/drawing/2014/chart" uri="{C3380CC4-5D6E-409C-BE32-E72D297353CC}">
              <c16:uniqueId val="{00000000-D2A4-419D-BC93-D407D090D323}"/>
            </c:ext>
          </c:extLst>
        </c:ser>
        <c:ser>
          <c:idx val="1"/>
          <c:order val="1"/>
          <c:tx>
            <c:v>Ongoing Capital Costs</c:v>
          </c:tx>
          <c:spPr>
            <a:pattFill prst="pct20">
              <a:fgClr>
                <a:srgbClr val="002060"/>
              </a:fgClr>
              <a:bgClr>
                <a:schemeClr val="accent2">
                  <a:lumMod val="60000"/>
                  <a:lumOff val="40000"/>
                </a:schemeClr>
              </a:bgClr>
            </a:pattFill>
            <a:ln>
              <a:solidFill>
                <a:schemeClr val="tx1"/>
              </a:solidFill>
            </a:ln>
            <a:effectLst/>
          </c:spPr>
          <c:invertIfNegative val="0"/>
          <c:val>
            <c:numRef>
              <c:f>Outputs!$E$11:$N$11</c:f>
              <c:numCache>
                <c:formatCode>"$"#,##0</c:formatCode>
                <c:ptCount val="10"/>
                <c:pt idx="0">
                  <c:v>0</c:v>
                </c:pt>
                <c:pt idx="1">
                  <c:v>0</c:v>
                </c:pt>
                <c:pt idx="2">
                  <c:v>0</c:v>
                </c:pt>
                <c:pt idx="3">
                  <c:v>0</c:v>
                </c:pt>
                <c:pt idx="4">
                  <c:v>50000</c:v>
                </c:pt>
                <c:pt idx="5">
                  <c:v>0</c:v>
                </c:pt>
                <c:pt idx="6">
                  <c:v>0</c:v>
                </c:pt>
                <c:pt idx="7">
                  <c:v>0</c:v>
                </c:pt>
                <c:pt idx="8">
                  <c:v>0</c:v>
                </c:pt>
                <c:pt idx="9">
                  <c:v>0</c:v>
                </c:pt>
              </c:numCache>
            </c:numRef>
          </c:val>
          <c:extLst>
            <c:ext xmlns:c16="http://schemas.microsoft.com/office/drawing/2014/chart" uri="{C3380CC4-5D6E-409C-BE32-E72D297353CC}">
              <c16:uniqueId val="{00000001-23D8-4CD0-81EF-1CC6ACB103BF}"/>
            </c:ext>
          </c:extLst>
        </c:ser>
        <c:dLbls>
          <c:showLegendKey val="0"/>
          <c:showVal val="0"/>
          <c:showCatName val="0"/>
          <c:showSerName val="0"/>
          <c:showPercent val="0"/>
          <c:showBubbleSize val="0"/>
        </c:dLbls>
        <c:gapWidth val="150"/>
        <c:overlap val="100"/>
        <c:axId val="453461247"/>
        <c:axId val="783693599"/>
      </c:barChart>
      <c:catAx>
        <c:axId val="453461247"/>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Project</a:t>
                </a:r>
                <a:r>
                  <a:rPr lang="en-US" sz="1800" baseline="0">
                    <a:solidFill>
                      <a:sysClr val="windowText" lastClr="000000"/>
                    </a:solidFill>
                  </a:rPr>
                  <a:t> Duration - Years</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783693599"/>
        <c:crosses val="autoZero"/>
        <c:auto val="1"/>
        <c:lblAlgn val="ctr"/>
        <c:lblOffset val="100"/>
        <c:noMultiLvlLbl val="0"/>
      </c:catAx>
      <c:valAx>
        <c:axId val="783693599"/>
        <c:scaling>
          <c:orientation val="minMax"/>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Costs</a:t>
                </a:r>
                <a:r>
                  <a:rPr lang="en-US" sz="1800" baseline="0">
                    <a:solidFill>
                      <a:sysClr val="windowText" lastClr="000000"/>
                    </a:solidFill>
                  </a:rPr>
                  <a:t> ($) Nominal</a:t>
                </a:r>
                <a:endParaRPr lang="en-US" sz="18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53461247"/>
        <c:crosses val="autoZero"/>
        <c:crossBetween val="between"/>
      </c:valAx>
      <c:spPr>
        <a:noFill/>
        <a:ln>
          <a:noFill/>
        </a:ln>
        <a:effectLst/>
      </c:spPr>
    </c:plotArea>
    <c:legend>
      <c:legendPos val="b"/>
      <c:layout>
        <c:manualLayout>
          <c:xMode val="edge"/>
          <c:yMode val="edge"/>
          <c:x val="0.3987155284655397"/>
          <c:y val="0.93604723983084381"/>
          <c:w val="0.32638096724469312"/>
          <c:h val="4.71890851609356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solidFill>
                  <a:sysClr val="windowText" lastClr="000000"/>
                </a:solidFill>
              </a:rPr>
              <a:t>Revenues</a:t>
            </a:r>
          </a:p>
        </c:rich>
      </c:tx>
      <c:layout>
        <c:manualLayout>
          <c:xMode val="edge"/>
          <c:yMode val="edge"/>
          <c:x val="0.50037344353960644"/>
          <c:y val="2.323557613971910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v>From EV Charging Activity</c:v>
          </c:tx>
          <c:spPr>
            <a:pattFill prst="dkDnDiag">
              <a:fgClr>
                <a:schemeClr val="tx1"/>
              </a:fgClr>
              <a:bgClr>
                <a:schemeClr val="accent1">
                  <a:lumMod val="60000"/>
                  <a:lumOff val="40000"/>
                </a:schemeClr>
              </a:bgClr>
            </a:pattFill>
            <a:ln>
              <a:solidFill>
                <a:schemeClr val="tx1"/>
              </a:solidFill>
            </a:ln>
            <a:effectLst/>
          </c:spPr>
          <c:invertIfNegative val="0"/>
          <c:cat>
            <c:strRef>
              <c:f>Outputs!$E$53:$N$53</c:f>
              <c:strCache>
                <c:ptCount val="10"/>
                <c:pt idx="0">
                  <c:v>Operational Year 3</c:v>
                </c:pt>
                <c:pt idx="1">
                  <c:v>Operational Year 4</c:v>
                </c:pt>
                <c:pt idx="2">
                  <c:v>Operational Year 5</c:v>
                </c:pt>
                <c:pt idx="3">
                  <c:v>Operational Year 6</c:v>
                </c:pt>
                <c:pt idx="4">
                  <c:v>Operational Year 7</c:v>
                </c:pt>
                <c:pt idx="5">
                  <c:v>Operational Year 8</c:v>
                </c:pt>
                <c:pt idx="6">
                  <c:v>Operational Year 9</c:v>
                </c:pt>
                <c:pt idx="7">
                  <c:v>Operational Year 10</c:v>
                </c:pt>
                <c:pt idx="8">
                  <c:v>Operational Year 11</c:v>
                </c:pt>
                <c:pt idx="9">
                  <c:v>Operational Year 12</c:v>
                </c:pt>
              </c:strCache>
            </c:strRef>
          </c:cat>
          <c:val>
            <c:numRef>
              <c:f>Outputs!$E$55:$N$55</c:f>
              <c:numCache>
                <c:formatCode>"$"#,##0</c:formatCode>
                <c:ptCount val="10"/>
                <c:pt idx="0">
                  <c:v>122258.96189999999</c:v>
                </c:pt>
                <c:pt idx="1">
                  <c:v>131581.20774487496</c:v>
                </c:pt>
                <c:pt idx="2">
                  <c:v>141614.27483542167</c:v>
                </c:pt>
                <c:pt idx="3">
                  <c:v>152412.36329162258</c:v>
                </c:pt>
                <c:pt idx="4">
                  <c:v>164033.80599260874</c:v>
                </c:pt>
                <c:pt idx="5">
                  <c:v>176541.38369954514</c:v>
                </c:pt>
                <c:pt idx="6">
                  <c:v>190002.66420663544</c:v>
                </c:pt>
                <c:pt idx="7">
                  <c:v>204490.36735239139</c:v>
                </c:pt>
                <c:pt idx="8">
                  <c:v>220082.75786301124</c:v>
                </c:pt>
                <c:pt idx="9">
                  <c:v>236864.06815006587</c:v>
                </c:pt>
              </c:numCache>
            </c:numRef>
          </c:val>
          <c:extLst>
            <c:ext xmlns:c16="http://schemas.microsoft.com/office/drawing/2014/chart" uri="{C3380CC4-5D6E-409C-BE32-E72D297353CC}">
              <c16:uniqueId val="{00000000-321B-4506-BB5E-2022DFA1EB5E}"/>
            </c:ext>
          </c:extLst>
        </c:ser>
        <c:ser>
          <c:idx val="1"/>
          <c:order val="1"/>
          <c:tx>
            <c:v>Other Revenues</c:v>
          </c:tx>
          <c:spPr>
            <a:pattFill prst="pct20">
              <a:fgClr>
                <a:srgbClr val="002060"/>
              </a:fgClr>
              <a:bgClr>
                <a:schemeClr val="accent2">
                  <a:lumMod val="60000"/>
                  <a:lumOff val="40000"/>
                </a:schemeClr>
              </a:bgClr>
            </a:pattFill>
            <a:ln>
              <a:solidFill>
                <a:schemeClr val="tx1"/>
              </a:solidFill>
            </a:ln>
            <a:effectLst/>
          </c:spPr>
          <c:invertIfNegative val="0"/>
          <c:cat>
            <c:strRef>
              <c:f>Outputs!$E$53:$N$53</c:f>
              <c:strCache>
                <c:ptCount val="10"/>
                <c:pt idx="0">
                  <c:v>Operational Year 3</c:v>
                </c:pt>
                <c:pt idx="1">
                  <c:v>Operational Year 4</c:v>
                </c:pt>
                <c:pt idx="2">
                  <c:v>Operational Year 5</c:v>
                </c:pt>
                <c:pt idx="3">
                  <c:v>Operational Year 6</c:v>
                </c:pt>
                <c:pt idx="4">
                  <c:v>Operational Year 7</c:v>
                </c:pt>
                <c:pt idx="5">
                  <c:v>Operational Year 8</c:v>
                </c:pt>
                <c:pt idx="6">
                  <c:v>Operational Year 9</c:v>
                </c:pt>
                <c:pt idx="7">
                  <c:v>Operational Year 10</c:v>
                </c:pt>
                <c:pt idx="8">
                  <c:v>Operational Year 11</c:v>
                </c:pt>
                <c:pt idx="9">
                  <c:v>Operational Year 12</c:v>
                </c:pt>
              </c:strCache>
            </c:strRef>
          </c:cat>
          <c:val>
            <c:numRef>
              <c:f>Outputs!$E$56:$N$56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1B-4506-BB5E-2022DFA1EB5E}"/>
            </c:ext>
          </c:extLst>
        </c:ser>
        <c:dLbls>
          <c:showLegendKey val="0"/>
          <c:showVal val="0"/>
          <c:showCatName val="0"/>
          <c:showSerName val="0"/>
          <c:showPercent val="0"/>
          <c:showBubbleSize val="0"/>
        </c:dLbls>
        <c:gapWidth val="150"/>
        <c:overlap val="100"/>
        <c:axId val="453461247"/>
        <c:axId val="783693599"/>
      </c:barChart>
      <c:catAx>
        <c:axId val="453461247"/>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Project</a:t>
                </a:r>
                <a:r>
                  <a:rPr lang="en-US" sz="1800" baseline="0">
                    <a:solidFill>
                      <a:sysClr val="windowText" lastClr="000000"/>
                    </a:solidFill>
                  </a:rPr>
                  <a:t> Duration - Years</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783693599"/>
        <c:crosses val="autoZero"/>
        <c:auto val="1"/>
        <c:lblAlgn val="ctr"/>
        <c:lblOffset val="100"/>
        <c:noMultiLvlLbl val="0"/>
      </c:catAx>
      <c:valAx>
        <c:axId val="783693599"/>
        <c:scaling>
          <c:orientation val="minMax"/>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Revenues</a:t>
                </a:r>
                <a:r>
                  <a:rPr lang="en-US" sz="1800" baseline="0">
                    <a:solidFill>
                      <a:sysClr val="windowText" lastClr="000000"/>
                    </a:solidFill>
                  </a:rPr>
                  <a:t> ($) Nominal</a:t>
                </a:r>
                <a:endParaRPr lang="en-US" sz="18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53461247"/>
        <c:crosses val="autoZero"/>
        <c:crossBetween val="between"/>
      </c:valAx>
      <c:spPr>
        <a:noFill/>
        <a:ln>
          <a:noFill/>
        </a:ln>
        <a:effectLst/>
      </c:spPr>
    </c:plotArea>
    <c:legend>
      <c:legendPos val="b"/>
      <c:layout>
        <c:manualLayout>
          <c:xMode val="edge"/>
          <c:yMode val="edge"/>
          <c:x val="0.36484787812281411"/>
          <c:y val="0.93796764206999783"/>
          <c:w val="0.40070359175763176"/>
          <c:h val="4.7145178136242312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a:solidFill>
                  <a:sysClr val="windowText" lastClr="000000"/>
                </a:solidFill>
              </a:rPr>
              <a:t>Cash Flows - Grant Based</a:t>
            </a:r>
            <a:r>
              <a:rPr lang="en-US" sz="2400" b="1" baseline="0">
                <a:solidFill>
                  <a:sysClr val="windowText" lastClr="000000"/>
                </a:solidFill>
              </a:rPr>
              <a:t> P3 Pre-Subsidy Adjustment</a:t>
            </a:r>
            <a:endParaRPr lang="en-US" sz="2400" b="1">
              <a:solidFill>
                <a:sysClr val="windowText" lastClr="000000"/>
              </a:solidFill>
            </a:endParaRPr>
          </a:p>
        </c:rich>
      </c:tx>
      <c:layout>
        <c:manualLayout>
          <c:xMode val="edge"/>
          <c:yMode val="edge"/>
          <c:x val="0.24177322345323091"/>
          <c:y val="1.949103052013968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Free Cash Flows</c:v>
          </c:tx>
          <c:spPr>
            <a:ln w="38100" cap="rnd">
              <a:solidFill>
                <a:schemeClr val="accent5">
                  <a:lumMod val="75000"/>
                </a:schemeClr>
              </a:solidFill>
              <a:prstDash val="sysDash"/>
              <a:round/>
            </a:ln>
            <a:effectLst/>
          </c:spPr>
          <c:marker>
            <c:symbol val="circle"/>
            <c:size val="6"/>
            <c:spPr>
              <a:solidFill>
                <a:schemeClr val="tx1"/>
              </a:solidFill>
              <a:ln w="9525">
                <a:solidFill>
                  <a:schemeClr val="tx1"/>
                </a:solidFill>
              </a:ln>
              <a:effectLst/>
            </c:spPr>
          </c:marker>
          <c:cat>
            <c:strRef>
              <c:f>DCF!$B$9:$N$9</c:f>
              <c:strCache>
                <c:ptCount val="13"/>
                <c:pt idx="0">
                  <c:v>Planning and Construction Year 0</c:v>
                </c:pt>
                <c:pt idx="1">
                  <c:v>Planning and Construction Year 1</c:v>
                </c:pt>
                <c:pt idx="2">
                  <c:v>Planning and Construction Year 2</c:v>
                </c:pt>
                <c:pt idx="3">
                  <c:v>Operational Year 3</c:v>
                </c:pt>
                <c:pt idx="4">
                  <c:v>Operational Year 4</c:v>
                </c:pt>
                <c:pt idx="5">
                  <c:v>Operational Year 5</c:v>
                </c:pt>
                <c:pt idx="6">
                  <c:v>Operational Year 6</c:v>
                </c:pt>
                <c:pt idx="7">
                  <c:v>Operational Year 7</c:v>
                </c:pt>
                <c:pt idx="8">
                  <c:v>Operational Year 8</c:v>
                </c:pt>
                <c:pt idx="9">
                  <c:v>Operational Year 9</c:v>
                </c:pt>
                <c:pt idx="10">
                  <c:v>Operational Year 10</c:v>
                </c:pt>
                <c:pt idx="11">
                  <c:v>Operational Year 11</c:v>
                </c:pt>
                <c:pt idx="12">
                  <c:v>Operational Year 12</c:v>
                </c:pt>
              </c:strCache>
            </c:strRef>
          </c:cat>
          <c:val>
            <c:numRef>
              <c:f>DCF!$B$30:$N$30</c:f>
              <c:numCache>
                <c:formatCode>"$"#,##0</c:formatCode>
                <c:ptCount val="13"/>
                <c:pt idx="0">
                  <c:v>-130000</c:v>
                </c:pt>
                <c:pt idx="1">
                  <c:v>-65000</c:v>
                </c:pt>
                <c:pt idx="2">
                  <c:v>-65000</c:v>
                </c:pt>
                <c:pt idx="3">
                  <c:v>22258.961899999995</c:v>
                </c:pt>
                <c:pt idx="4">
                  <c:v>26518.707744874962</c:v>
                </c:pt>
                <c:pt idx="5">
                  <c:v>31167.321710421689</c:v>
                </c:pt>
                <c:pt idx="6">
                  <c:v>36236.056553341361</c:v>
                </c:pt>
                <c:pt idx="7">
                  <c:v>-1648.2823815807815</c:v>
                </c:pt>
                <c:pt idx="8">
                  <c:v>47771.200966344972</c:v>
                </c:pt>
                <c:pt idx="9">
                  <c:v>54312.98858556099</c:v>
                </c:pt>
                <c:pt idx="10">
                  <c:v>61426.06834938057</c:v>
                </c:pt>
                <c:pt idx="11">
                  <c:v>69155.813304795622</c:v>
                </c:pt>
                <c:pt idx="12">
                  <c:v>77551.101494155504</c:v>
                </c:pt>
              </c:numCache>
            </c:numRef>
          </c:val>
          <c:smooth val="0"/>
          <c:extLst>
            <c:ext xmlns:c16="http://schemas.microsoft.com/office/drawing/2014/chart" uri="{C3380CC4-5D6E-409C-BE32-E72D297353CC}">
              <c16:uniqueId val="{00000000-3391-4B7E-9D66-213CF64707F4}"/>
            </c:ext>
          </c:extLst>
        </c:ser>
        <c:ser>
          <c:idx val="1"/>
          <c:order val="1"/>
          <c:tx>
            <c:v>Discounted Cash Flows</c:v>
          </c:tx>
          <c:spPr>
            <a:ln w="38100" cap="rnd">
              <a:solidFill>
                <a:schemeClr val="accent4">
                  <a:lumMod val="75000"/>
                </a:schemeClr>
              </a:solidFill>
              <a:round/>
            </a:ln>
            <a:effectLst/>
          </c:spPr>
          <c:marker>
            <c:symbol val="circle"/>
            <c:size val="6"/>
            <c:spPr>
              <a:solidFill>
                <a:schemeClr val="tx1"/>
              </a:solidFill>
              <a:ln w="9525">
                <a:solidFill>
                  <a:schemeClr val="tx1"/>
                </a:solidFill>
              </a:ln>
              <a:effectLst/>
            </c:spPr>
          </c:marker>
          <c:val>
            <c:numRef>
              <c:f>DCF!$B$32:$N$32</c:f>
              <c:numCache>
                <c:formatCode>"$"#,##0</c:formatCode>
                <c:ptCount val="13"/>
                <c:pt idx="0">
                  <c:v>-130000</c:v>
                </c:pt>
                <c:pt idx="1">
                  <c:v>-59090.909090909088</c:v>
                </c:pt>
                <c:pt idx="2">
                  <c:v>-53719.008264462806</c:v>
                </c:pt>
                <c:pt idx="3">
                  <c:v>16723.487528174297</c:v>
                </c:pt>
                <c:pt idx="4">
                  <c:v>18112.634208643503</c:v>
                </c:pt>
                <c:pt idx="5">
                  <c:v>19352.45463264536</c:v>
                </c:pt>
                <c:pt idx="6">
                  <c:v>20454.309252315528</c:v>
                </c:pt>
                <c:pt idx="7">
                  <c:v>-845.82948524482106</c:v>
                </c:pt>
                <c:pt idx="8">
                  <c:v>22285.617812282264</c:v>
                </c:pt>
                <c:pt idx="9">
                  <c:v>23034.009105828361</c:v>
                </c:pt>
                <c:pt idx="10">
                  <c:v>23682.408448143415</c:v>
                </c:pt>
                <c:pt idx="11">
                  <c:v>24238.690677004961</c:v>
                </c:pt>
                <c:pt idx="12">
                  <c:v>24710.170883421622</c:v>
                </c:pt>
              </c:numCache>
            </c:numRef>
          </c:val>
          <c:smooth val="0"/>
          <c:extLst>
            <c:ext xmlns:c16="http://schemas.microsoft.com/office/drawing/2014/chart" uri="{C3380CC4-5D6E-409C-BE32-E72D297353CC}">
              <c16:uniqueId val="{00000001-3391-4B7E-9D66-213CF64707F4}"/>
            </c:ext>
          </c:extLst>
        </c:ser>
        <c:ser>
          <c:idx val="2"/>
          <c:order val="2"/>
          <c:tx>
            <c:v>Cumulative Discounted Cash Flow</c:v>
          </c:tx>
          <c:spPr>
            <a:ln w="38100" cap="rnd">
              <a:solidFill>
                <a:schemeClr val="accent6">
                  <a:lumMod val="75000"/>
                </a:schemeClr>
              </a:solidFill>
              <a:prstDash val="lgDash"/>
              <a:round/>
            </a:ln>
            <a:effectLst/>
          </c:spPr>
          <c:marker>
            <c:symbol val="circle"/>
            <c:size val="5"/>
            <c:spPr>
              <a:solidFill>
                <a:schemeClr val="tx1"/>
              </a:solidFill>
              <a:ln w="9525">
                <a:solidFill>
                  <a:schemeClr val="tx1"/>
                </a:solidFill>
              </a:ln>
              <a:effectLst/>
            </c:spPr>
          </c:marker>
          <c:val>
            <c:numRef>
              <c:f>DCF!$B$33:$N$33</c:f>
              <c:numCache>
                <c:formatCode>"$"#,##0</c:formatCode>
                <c:ptCount val="13"/>
                <c:pt idx="0">
                  <c:v>-130000</c:v>
                </c:pt>
                <c:pt idx="1">
                  <c:v>-189090.90909090909</c:v>
                </c:pt>
                <c:pt idx="2">
                  <c:v>-242809.9173553719</c:v>
                </c:pt>
                <c:pt idx="3">
                  <c:v>-226086.4298271976</c:v>
                </c:pt>
                <c:pt idx="4">
                  <c:v>-207973.79561855411</c:v>
                </c:pt>
                <c:pt idx="5">
                  <c:v>-188621.34098590876</c:v>
                </c:pt>
                <c:pt idx="6">
                  <c:v>-168167.03173359323</c:v>
                </c:pt>
                <c:pt idx="7">
                  <c:v>-169012.86121883805</c:v>
                </c:pt>
                <c:pt idx="8">
                  <c:v>-146727.24340655579</c:v>
                </c:pt>
                <c:pt idx="9">
                  <c:v>-123693.23430072743</c:v>
                </c:pt>
                <c:pt idx="10">
                  <c:v>-100010.82585258402</c:v>
                </c:pt>
                <c:pt idx="11">
                  <c:v>-75772.135175579053</c:v>
                </c:pt>
                <c:pt idx="12">
                  <c:v>-51061.964292157427</c:v>
                </c:pt>
              </c:numCache>
            </c:numRef>
          </c:val>
          <c:smooth val="0"/>
          <c:extLst>
            <c:ext xmlns:c16="http://schemas.microsoft.com/office/drawing/2014/chart" uri="{C3380CC4-5D6E-409C-BE32-E72D297353CC}">
              <c16:uniqueId val="{00000002-3391-4B7E-9D66-213CF64707F4}"/>
            </c:ext>
          </c:extLst>
        </c:ser>
        <c:dLbls>
          <c:showLegendKey val="0"/>
          <c:showVal val="0"/>
          <c:showCatName val="0"/>
          <c:showSerName val="0"/>
          <c:showPercent val="0"/>
          <c:showBubbleSize val="0"/>
        </c:dLbls>
        <c:marker val="1"/>
        <c:smooth val="0"/>
        <c:axId val="453461247"/>
        <c:axId val="783693599"/>
      </c:lineChart>
      <c:catAx>
        <c:axId val="453461247"/>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Project</a:t>
                </a:r>
                <a:r>
                  <a:rPr lang="en-US" sz="1800" baseline="0">
                    <a:solidFill>
                      <a:sysClr val="windowText" lastClr="000000"/>
                    </a:solidFill>
                  </a:rPr>
                  <a:t> Duration - Years</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783693599"/>
        <c:crosses val="autoZero"/>
        <c:auto val="1"/>
        <c:lblAlgn val="ctr"/>
        <c:lblOffset val="100"/>
        <c:noMultiLvlLbl val="0"/>
      </c:catAx>
      <c:valAx>
        <c:axId val="783693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solidFill>
                      <a:sysClr val="windowText" lastClr="000000"/>
                    </a:solidFill>
                  </a:rPr>
                  <a:t>Cash</a:t>
                </a:r>
                <a:r>
                  <a:rPr lang="en-US" sz="1800" baseline="0">
                    <a:solidFill>
                      <a:sysClr val="windowText" lastClr="000000"/>
                    </a:solidFill>
                  </a:rPr>
                  <a:t> ($)</a:t>
                </a:r>
                <a:endParaRPr lang="en-US" sz="18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53461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311147</xdr:colOff>
      <xdr:row>5</xdr:row>
      <xdr:rowOff>85725</xdr:rowOff>
    </xdr:from>
    <xdr:to>
      <xdr:col>45</xdr:col>
      <xdr:colOff>376671</xdr:colOff>
      <xdr:row>33</xdr:row>
      <xdr:rowOff>266700</xdr:rowOff>
    </xdr:to>
    <xdr:pic>
      <xdr:nvPicPr>
        <xdr:cNvPr id="2" name="Picture 24" descr="This flow chart describes how the inputs flows into the output tabs, which include the tabs labelled &quot;Outputs&quot;, &quot;DCF&quot;, and &quot;Outcomes Dashboard.&quot; Starting with “Inputs – Constant” and “Inputs – Time Series” there’s an arrow pointing to “Outputs”. From “Outputs” there are six arrows pointing to “Cost Estimate Output” (Calculations: Capital Costs, Q&amp;M Costs and Ongoing Capital Costs, and NPV of Costs), “Revenue Estimate Output” (Calculations: Total Project Revenues (Revenue Scenario) and Revenues from EV Charging Activity), “Income” (Calculations: Annual Operating Income (EBIT), “Government Support Performance Based P3” (Calculations: Availability Payments, Federal Reimbursement and Non-Federally Reimbursed Amount), “Government Support Grant Based P3” (Calculations: Annual Grants and NPV of Grants), and “Revenue Structures” (Calculations: Revenues Sharing Strategy, Minimum Revenue Guarantee, and Total Returns to Agency). From the previous six there is an arrow pointing to “DCF”. From “DCF” there are two arrows pointing to “Discounted Cash Flow Analysis: Performance Based vs. Grant Based vs. MRG” (Calculations: Total Free Cash Flows and Discounted Cash Flows (+Cumulative DCFs) and “Financial Performance Indicators” (Calculations: NPV, IDR, Discounted Payback Period and Optimal Subsidy Adjustment). From the previous two there is an arrow pointing to “Outcomes Dashboard” and from there two arrows pointing to “Key Stats” (Key Project Data, Performance P3 Outcomes, Grant P3 Outcomes and MRG Outcomes) and “Charts” (Costs – Operating Phase, Revenues, Cash Flows, and Operating Income). ">
          <a:extLst>
            <a:ext uri="{FF2B5EF4-FFF2-40B4-BE49-F238E27FC236}">
              <a16:creationId xmlns:a16="http://schemas.microsoft.com/office/drawing/2014/main" id="{8509BD29-2BD8-900F-A78C-E029AE72F825}"/>
            </a:ext>
          </a:extLst>
        </xdr:cNvPr>
        <xdr:cNvPicPr>
          <a:picLocks noChangeAspect="1"/>
        </xdr:cNvPicPr>
      </xdr:nvPicPr>
      <xdr:blipFill>
        <a:blip xmlns:r="http://schemas.openxmlformats.org/officeDocument/2006/relationships" r:embed="rId1"/>
        <a:stretch>
          <a:fillRect/>
        </a:stretch>
      </xdr:blipFill>
      <xdr:spPr>
        <a:xfrm>
          <a:off x="946147" y="1831975"/>
          <a:ext cx="32752149" cy="8404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25401</xdr:colOff>
      <xdr:row>78</xdr:row>
      <xdr:rowOff>31747</xdr:rowOff>
    </xdr:from>
    <xdr:to>
      <xdr:col>12</xdr:col>
      <xdr:colOff>30162</xdr:colOff>
      <xdr:row>105</xdr:row>
      <xdr:rowOff>163285</xdr:rowOff>
    </xdr:to>
    <xdr:graphicFrame macro="">
      <xdr:nvGraphicFramePr>
        <xdr:cNvPr id="3" name="Chart 2" descr="This bar chart displays the operating income over time. The data for operating income can be found in the &quot;Annual Operating Income&quot; table in the &quot;Outputs&quot; tab.">
          <a:extLst>
            <a:ext uri="{FF2B5EF4-FFF2-40B4-BE49-F238E27FC236}">
              <a16:creationId xmlns:a16="http://schemas.microsoft.com/office/drawing/2014/main" id="{DE14F4D3-24BA-44F4-AB64-CF4C288C5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78</xdr:row>
      <xdr:rowOff>73025</xdr:rowOff>
    </xdr:from>
    <xdr:to>
      <xdr:col>4</xdr:col>
      <xdr:colOff>809625</xdr:colOff>
      <xdr:row>100</xdr:row>
      <xdr:rowOff>168275</xdr:rowOff>
    </xdr:to>
    <xdr:graphicFrame macro="">
      <xdr:nvGraphicFramePr>
        <xdr:cNvPr id="4" name="Chart 3" descr="This chart displays the free cash flows, discounted cash flows, and cumulative cash flows over time. The table titled &quot;DCF Table - Performance Based P3&quot; in the &quot;DCF&quot; tab contains the various cash flow data. ">
          <a:extLst>
            <a:ext uri="{FF2B5EF4-FFF2-40B4-BE49-F238E27FC236}">
              <a16:creationId xmlns:a16="http://schemas.microsoft.com/office/drawing/2014/main" id="{391603A1-BB74-4316-8220-8E42BF0CE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168275</xdr:colOff>
      <xdr:row>53</xdr:row>
      <xdr:rowOff>114300</xdr:rowOff>
    </xdr:from>
    <xdr:to>
      <xdr:col>4</xdr:col>
      <xdr:colOff>796925</xdr:colOff>
      <xdr:row>77</xdr:row>
      <xdr:rowOff>74614</xdr:rowOff>
    </xdr:to>
    <xdr:graphicFrame macro="">
      <xdr:nvGraphicFramePr>
        <xdr:cNvPr id="5" name="Chart 4" descr="This is a bar chart displays the costs during the operation phase. The &#10;data used can be found in the 'Outputs' tab in the table labelled &quot;Total Annual Cost Breakdown.&quot;&#10;">
          <a:extLst>
            <a:ext uri="{FF2B5EF4-FFF2-40B4-BE49-F238E27FC236}">
              <a16:creationId xmlns:a16="http://schemas.microsoft.com/office/drawing/2014/main" id="{47C54EBD-F981-4A81-9560-AD61A6BF1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15875</xdr:colOff>
      <xdr:row>53</xdr:row>
      <xdr:rowOff>120650</xdr:rowOff>
    </xdr:from>
    <xdr:to>
      <xdr:col>12</xdr:col>
      <xdr:colOff>95250</xdr:colOff>
      <xdr:row>77</xdr:row>
      <xdr:rowOff>71437</xdr:rowOff>
    </xdr:to>
    <xdr:graphicFrame macro="">
      <xdr:nvGraphicFramePr>
        <xdr:cNvPr id="8" name="Chart 7" descr="This bar chart displays revenues over time. The revenue data can be found in the &quot;Outputs&quot; tab under the title &quot;Revenue Estimates&quot;.">
          <a:extLst>
            <a:ext uri="{FF2B5EF4-FFF2-40B4-BE49-F238E27FC236}">
              <a16:creationId xmlns:a16="http://schemas.microsoft.com/office/drawing/2014/main" id="{DE087D79-8BD8-421D-82F2-F135141A8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102</xdr:row>
      <xdr:rowOff>0</xdr:rowOff>
    </xdr:from>
    <xdr:to>
      <xdr:col>4</xdr:col>
      <xdr:colOff>802822</xdr:colOff>
      <xdr:row>137</xdr:row>
      <xdr:rowOff>44450</xdr:rowOff>
    </xdr:to>
    <xdr:graphicFrame macro="">
      <xdr:nvGraphicFramePr>
        <xdr:cNvPr id="6" name="Chart 5" descr="This bar chart displays the grant based P3s cash flows over time. The table titled &quot;DCF Table - Grant Based P3&quot; contains the cash flow data for grant based P3s, located in the &quot;DCF&quot; tab.">
          <a:extLst>
            <a:ext uri="{FF2B5EF4-FFF2-40B4-BE49-F238E27FC236}">
              <a16:creationId xmlns:a16="http://schemas.microsoft.com/office/drawing/2014/main" id="{2C675435-D76E-4ADB-A14D-416D01352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E2D479-AA99-4FF4-88FC-39C2502A6CD9}" name="Navigation" displayName="Navigation" ref="A16:B23" headerRowDxfId="437" headerRowBorderDxfId="436" tableBorderDxfId="435" totalsRowBorderDxfId="434">
  <autoFilter ref="A16:B23" xr:uid="{25E2D479-AA99-4FF4-88FC-39C2502A6CD9}">
    <filterColumn colId="0" hiddenButton="1"/>
    <filterColumn colId="1" hiddenButton="1"/>
  </autoFilter>
  <tableColumns count="2">
    <tableColumn id="1" xr3:uid="{2506661C-F950-42D7-8155-9EE59FB5B96C}" name="Sheet Name" totalsRowLabel="Total" dataDxfId="433" totalsRowDxfId="432"/>
    <tableColumn id="2" xr3:uid="{D4F8556A-6893-4B81-B22E-19E182FD7A89}" name="Description" dataDxfId="431" totalsRowDxfId="430"/>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5C75CE-7773-4172-8578-B0A2635AAB63}" name="Contacts" displayName="Contacts" ref="A10:B13" totalsRowShown="0" headerRowDxfId="429" headerRowBorderDxfId="428" tableBorderDxfId="427" totalsRowBorderDxfId="426">
  <autoFilter ref="A10:B13" xr:uid="{DB5C75CE-7773-4172-8578-B0A2635AAB63}">
    <filterColumn colId="0" hiddenButton="1"/>
    <filterColumn colId="1" hiddenButton="1"/>
  </autoFilter>
  <tableColumns count="2">
    <tableColumn id="1" xr3:uid="{464AAF1C-80EF-4623-8007-9D07E1044D4E}" name="Name " dataDxfId="425"/>
    <tableColumn id="2" xr3:uid="{DFE8C9D8-7386-474A-88B6-0C18835F0BC8}" name="Email" dataDxfId="424"/>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A084A9-9CFA-46BF-ACD8-8BF9F8EB7995}" name="References" displayName="References" ref="A4:C24" totalsRowShown="0" headerRowDxfId="423" headerRowBorderDxfId="422" tableBorderDxfId="421" totalsRowBorderDxfId="420">
  <autoFilter ref="A4:C24" xr:uid="{C2A084A9-9CFA-46BF-ACD8-8BF9F8EB7995}">
    <filterColumn colId="0" hiddenButton="1"/>
    <filterColumn colId="1" hiddenButton="1"/>
    <filterColumn colId="2" hiddenButton="1"/>
  </autoFilter>
  <tableColumns count="3">
    <tableColumn id="1" xr3:uid="{DFD31C68-F36C-4B83-A0E5-038A0DD2A3B2}" name="Source" dataDxfId="419"/>
    <tableColumn id="2" xr3:uid="{A4D4567E-9995-434C-BAEC-EF5DE14C7104}" name="Description" dataDxfId="418"/>
    <tableColumn id="3" xr3:uid="{6F90A679-F49F-4ABD-900F-6362CC7BEA6B}" name="Link" dataDxfId="417" dataCellStyle="Hyperlink"/>
  </tableColumns>
  <tableStyleInfo name="TableStyleLight1"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FDCD7A0-DF83-4C0D-973F-53977EF15A56}" name="Capital_Cost" displayName="Capital_Cost" ref="A18:C23" totalsRowShown="0">
  <autoFilter ref="A18:C23" xr:uid="{6FDCD7A0-DF83-4C0D-973F-53977EF15A56}">
    <filterColumn colId="0" hiddenButton="1"/>
    <filterColumn colId="1" hiddenButton="1"/>
    <filterColumn colId="2" hiddenButton="1"/>
  </autoFilter>
  <tableColumns count="3">
    <tableColumn id="1" xr3:uid="{610F17ED-4276-472F-8BF3-41FA7FDE9B3A}" name="Capital Cost Item" dataDxfId="416"/>
    <tableColumn id="2" xr3:uid="{157EA072-84C3-4D7D-A1AC-215F4C8EF76B}" name="Eligible Costs" dataDxfId="415" dataCellStyle="Currency"/>
    <tableColumn id="3" xr3:uid="{4D12AC54-3631-496D-87A5-264B32FA9A93}" name="User Override"/>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421B21-1F2B-4B6D-81E6-86B2FD566238}" name="Capital_Cost_Allocation" displayName="Capital_Cost_Allocation" ref="A25:D26" totalsRowShown="0" headerRowDxfId="414">
  <autoFilter ref="A25:D26" xr:uid="{61421B21-1F2B-4B6D-81E6-86B2FD566238}">
    <filterColumn colId="0" hiddenButton="1"/>
    <filterColumn colId="1" hiddenButton="1"/>
    <filterColumn colId="2" hiddenButton="1"/>
    <filterColumn colId="3" hiddenButton="1"/>
  </autoFilter>
  <tableColumns count="4">
    <tableColumn id="1" xr3:uid="{437F4900-808B-454D-8508-4B54E2D918E1}" name="Cost Allocation in Capital Delivery Phase" dataDxfId="413"/>
    <tableColumn id="2" xr3:uid="{E3E68943-2386-46EC-A2B3-3692C1B08A21}" name="Planning and Construction Year 0" dataDxfId="412" dataCellStyle="Percent"/>
    <tableColumn id="3" xr3:uid="{E0D98290-E253-4F4E-AC9F-E4865489F6E1}" name="Planning and Construction Year 1" dataDxfId="411" dataCellStyle="Percent"/>
    <tableColumn id="4" xr3:uid="{50A94BE0-AFBF-41A5-8789-9CA2364E415E}" name="Planning and Construction Year 2" dataDxfId="410" dataCellStyle="Percent"/>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AA9074E-60B4-4A0E-9083-552034E0DB2D}" name="Peak_Hour_Charging_Share" displayName="Peak_Hour_Charging_Share" ref="A38:B39" totalsRowShown="0" headerRowDxfId="409" tableBorderDxfId="408" headerRowCellStyle="Heading 6">
  <autoFilter ref="A38:B39" xr:uid="{6AA9074E-60B4-4A0E-9083-552034E0DB2D}">
    <filterColumn colId="0" hiddenButton="1"/>
    <filterColumn colId="1" hiddenButton="1"/>
  </autoFilter>
  <tableColumns count="2">
    <tableColumn id="1" xr3:uid="{D254CBD1-AA0C-4797-B678-07E47B2A4D9B}" name="Peak-Hour Charging" dataDxfId="407"/>
    <tableColumn id="2" xr3:uid="{CD94DE3D-D7B9-4854-BF49-A49603BD27B9}" name="Value" dataDxfId="406" dataCellStyle="Percent"/>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91A8C28-6795-490E-AADD-C3D3F192DB6B}" name="Price_Paid_per_kWh" displayName="Price_Paid_per_kWh" ref="A41:B43" totalsRowShown="0" tableBorderDxfId="405">
  <autoFilter ref="A41:B43" xr:uid="{F91A8C28-6795-490E-AADD-C3D3F192DB6B}">
    <filterColumn colId="0" hiddenButton="1"/>
    <filterColumn colId="1" hiddenButton="1"/>
  </autoFilter>
  <tableColumns count="2">
    <tableColumn id="1" xr3:uid="{F923E283-F64C-4DCE-85D7-7D2A54ED8340}" name="Price per kWh (Paid by Customer)" dataDxfId="404"/>
    <tableColumn id="2" xr3:uid="{A40F7D39-B12C-462E-A703-9AF964DDC958}" name="Values" dataDxfId="403"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21514E7-8E38-415B-A691-FC86D4340CCF}" name="Demand_Estimate" displayName="Demand_Estimate" ref="A47:C55" totalsRowShown="0" tableBorderDxfId="402">
  <autoFilter ref="A47:C55" xr:uid="{B21514E7-8E38-415B-A691-FC86D4340CCF}">
    <filterColumn colId="0" hiddenButton="1"/>
    <filterColumn colId="1" hiddenButton="1"/>
    <filterColumn colId="2" hiddenButton="1"/>
  </autoFilter>
  <tableColumns count="3">
    <tableColumn id="1" xr3:uid="{F9EA45EB-2D65-4822-8E12-6A308A8466BF}" name="Rough Demand Estimation: Bottom Up Approach" dataDxfId="401"/>
    <tableColumn id="2" xr3:uid="{AA343B8E-2204-4278-ABA1-19FA61A8D784}" name="Values"/>
    <tableColumn id="3" xr3:uid="{46700CC2-A52E-490B-8161-77973BCF3F08}" name="User Override (refer to last cell)" dataDxfId="400"/>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6177DA-E8EB-4912-8F73-AED762F41C75}" name="Discount_Rates" displayName="Discount_Rates" ref="A59:B62" totalsRowShown="0" tableBorderDxfId="399">
  <autoFilter ref="A59:B62" xr:uid="{EB6177DA-E8EB-4912-8F73-AED762F41C75}">
    <filterColumn colId="0" hiddenButton="1"/>
    <filterColumn colId="1" hiddenButton="1"/>
  </autoFilter>
  <tableColumns count="2">
    <tableColumn id="1" xr3:uid="{F262C91E-4F9D-4A96-8EB9-1ED838E817EA}" name="Discount Rate" dataDxfId="398"/>
    <tableColumn id="2" xr3:uid="{7D421534-067F-47F8-ABC3-A44E3DED5601}" name="Values" dataDxfId="397" dataCellStyle="Percent"/>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17B473-D896-40E6-9850-89BDC9ACF6DA}" name="P3_Scenario_Selector" displayName="P3_Scenario_Selector" ref="A65:B66" totalsRowShown="0">
  <autoFilter ref="A65:B66" xr:uid="{6D17B473-D896-40E6-9850-89BDC9ACF6DA}">
    <filterColumn colId="0" hiddenButton="1"/>
    <filterColumn colId="1" hiddenButton="1"/>
  </autoFilter>
  <tableColumns count="2">
    <tableColumn id="1" xr3:uid="{EEBB542F-BA8C-4604-A9A5-93F2E7BCF431}" name="P3 Scenario Selector*" dataDxfId="396"/>
    <tableColumn id="2" xr3:uid="{63E63A2B-1786-4080-A179-4AFBC316ECCC}" name="Value" dataDxfId="395" dataCellStyle="Percent">
      <calculatedColumnFormula>VLOOKUP(A66,$A$60:$B$62,2,FALSE)</calculatedColumnFormula>
    </tableColumn>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FE7601F-F05C-4A57-A890-6E301F1843F6}" name="Escalation_Factors" displayName="Escalation_Factors" ref="A71:B78" totalsRowShown="0" tableBorderDxfId="394">
  <autoFilter ref="A71:B78" xr:uid="{2FE7601F-F05C-4A57-A890-6E301F1843F6}">
    <filterColumn colId="0" hiddenButton="1"/>
    <filterColumn colId="1" hiddenButton="1"/>
  </autoFilter>
  <tableColumns count="2">
    <tableColumn id="1" xr3:uid="{CBBD786C-30DA-44C5-9E2E-BEC855C8EB1E}" name="Escalation Factors (Annual Growth Rates)"/>
    <tableColumn id="2" xr3:uid="{DAEC4031-2F98-4F84-BA9C-154DDCA1BB49}" name="Values" dataDxfId="393" dataCellStyle="Percent"/>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E6C4199-62BC-43D5-9C0A-39C48064BB25}" name="Term_Length_Selector" displayName="Term_Length_Selector" ref="A83:B84" totalsRowShown="0">
  <autoFilter ref="A83:B84" xr:uid="{EE6C4199-62BC-43D5-9C0A-39C48064BB25}">
    <filterColumn colId="0" hiddenButton="1"/>
    <filterColumn colId="1" hiddenButton="1"/>
  </autoFilter>
  <tableColumns count="2">
    <tableColumn id="1" xr3:uid="{A8E72896-646E-4FC3-B4A8-47F5AEAF5FE5}" name="Term Length Selector *" dataDxfId="392"/>
    <tableColumn id="2" xr3:uid="{CC5BF3EF-617E-418F-815A-3BB9DA421E28}" name="Model Year" dataDxfId="391">
      <calculatedColumnFormula>HLOOKUP($A$84,$I$88:$N$89,2,FALSE)</calculatedColumnFormula>
    </tableColumn>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D17FB3D-3AE8-4A01-8228-B6A18D560FB6}" name="Term_Length_Reference" displayName="Term_Length_Reference" ref="A87:N90" totalsRowShown="0" headerRowDxfId="390" tableBorderDxfId="389">
  <autoFilter ref="A87:N90" xr:uid="{5D17FB3D-3AE8-4A01-8228-B6A18D560F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65C79A1-3BD1-496F-A828-CABF9CA6FE19}" name="Year Type " dataDxfId="388"/>
    <tableColumn id="2" xr3:uid="{E930F295-7037-4035-987C-61718A41BE47}" name="Planning Year 0"/>
    <tableColumn id="3" xr3:uid="{C192A5BD-D079-4578-846F-38B786BCC3F1}" name="Construction Year 1"/>
    <tableColumn id="4" xr3:uid="{BF00A852-0CE8-48F9-9B15-CFCF1D1512FF}" name="Construction Year 2"/>
    <tableColumn id="5" xr3:uid="{D30EFADB-CBE3-4139-B55C-F7CE63F62296}" name="Operations Year 1"/>
    <tableColumn id="6" xr3:uid="{CEC0F6B7-3FC3-4EF7-977A-95CB81250688}" name="Operations Year 2"/>
    <tableColumn id="7" xr3:uid="{9087DBDC-E432-4D2C-A113-E0859EBC0CFE}" name="Operations Year 3"/>
    <tableColumn id="8" xr3:uid="{577F4E40-32F2-449F-9FE9-7256C7C19BD2}" name="Operations Year 4"/>
    <tableColumn id="9" xr3:uid="{D79C2F8A-0636-4AEE-849D-7504E8FB3014}" name="Operations Year 5"/>
    <tableColumn id="10" xr3:uid="{01D9A04A-A327-48DA-AEB9-9C903136E3B3}" name="Operations Year 6"/>
    <tableColumn id="11" xr3:uid="{1BA3DD14-B579-4F86-AD48-913E2B954BE9}" name="Operations Year 7"/>
    <tableColumn id="12" xr3:uid="{2B946401-CC36-4509-9AC5-8EE2073EBD4E}" name="Operations Year 8"/>
    <tableColumn id="13" xr3:uid="{F96F5832-43FE-43E1-BAEC-15FA781BD5EC}" name="Operations Year 9"/>
    <tableColumn id="14" xr3:uid="{87D651A3-F737-4DD6-8304-3EC68D3D64A6}" name="Operations Year 10"/>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C8C803-D87D-4123-A4FA-E8689B5F83D0}" name="Project_Title" displayName="Project_Title" ref="A11:B13" totalsRowShown="0" headerRowDxfId="387">
  <autoFilter ref="A11:B13" xr:uid="{8FC8C803-D87D-4123-A4FA-E8689B5F83D0}">
    <filterColumn colId="0" hiddenButton="1"/>
    <filterColumn colId="1" hiddenButton="1"/>
  </autoFilter>
  <tableColumns count="2">
    <tableColumn id="1" xr3:uid="{15474216-A8B0-407D-868C-B06245F9696B}" name="ID" dataDxfId="386"/>
    <tableColumn id="2" xr3:uid="{BDCDDE70-EFE7-4EB9-B3A7-48E3C850AA47}" name="(User to enter)" dataDxfId="385"/>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C3AE057-E04E-42F7-920C-5280D0C4AE85}" name="Revenue_Selector" displayName="Revenue_Selector" ref="A35:A36" totalsRowShown="0" headerRowDxfId="384" dataDxfId="383" tableBorderDxfId="382" headerRowCellStyle="Heading 6">
  <autoFilter ref="A35:A36" xr:uid="{8C3AE057-E04E-42F7-920C-5280D0C4AE85}">
    <filterColumn colId="0" hiddenButton="1"/>
  </autoFilter>
  <tableColumns count="1">
    <tableColumn id="1" xr3:uid="{FA15AC1F-5519-427F-A13F-FEB19E0628EA}" name="Revenue Scenario Selector *" dataDxfId="381"/>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66D991-ADAD-4869-BE7E-DD33FA87E9E1}" name="Revenue_Multiples" displayName="Revenue_Multiples" ref="A32:C33" totalsRowShown="0" headerRowDxfId="380" headerRowBorderDxfId="379" tableBorderDxfId="378" totalsRowBorderDxfId="377">
  <autoFilter ref="A32:C33" xr:uid="{7E66D991-ADAD-4869-BE7E-DD33FA87E9E1}">
    <filterColumn colId="0" hiddenButton="1"/>
    <filterColumn colId="1" hiddenButton="1"/>
    <filterColumn colId="2" hiddenButton="1"/>
  </autoFilter>
  <tableColumns count="3">
    <tableColumn id="1" xr3:uid="{999D8400-664F-49F4-AF59-9934F093ABE2}" name="Pessimistic (&lt;1) *" dataDxfId="376"/>
    <tableColumn id="2" xr3:uid="{6FC24CAC-32ED-420B-BA96-4CFD4EABC756}" name="Baseline" dataDxfId="375"/>
    <tableColumn id="3" xr3:uid="{E6697EA6-8A75-4CCE-93EE-DF03E4F22B7F}" name="Optimistic (&gt;1) *" dataDxfId="374"/>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5B1C85-67C0-4A19-B745-A746A5425936}" name="Legend" displayName="Legend" ref="A6:B10" totalsRowShown="0" headerRowBorderDxfId="373" tableBorderDxfId="372">
  <autoFilter ref="A6:B10" xr:uid="{AE5B1C85-67C0-4A19-B745-A746A5425936}">
    <filterColumn colId="0" hiddenButton="1"/>
    <filterColumn colId="1" hiddenButton="1"/>
  </autoFilter>
  <tableColumns count="2">
    <tableColumn id="1" xr3:uid="{12088544-D698-465F-84B2-BC35F3CBB9BB}" name="Data Types" dataDxfId="371"/>
    <tableColumn id="2" xr3:uid="{0544608A-941A-4F39-91F1-7A36205F9F92}" name="Symbols"/>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C93988C-C835-4650-92E9-A0AB1DED1C3E}" name="Eligible_OandM_Costs" displayName="Eligible_OandM_Costs" ref="A16:N22" totalsRowShown="0" headerRowDxfId="370" dataDxfId="369" tableBorderDxfId="368">
  <autoFilter ref="A16:N22" xr:uid="{5C93988C-C835-4650-92E9-A0AB1DED1C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E6B307-3B54-4C1D-8862-CE094CEC367B}" name="Eligible O&amp;M Costs" dataDxfId="367"/>
    <tableColumn id="2" xr3:uid="{E9AD8F31-6E54-4782-82D9-A39B9D7DF98B}" name="Planning and Construction Year 0" dataDxfId="366"/>
    <tableColumn id="3" xr3:uid="{51866CE4-5A93-4F31-A80E-9E6EED28FDB9}" name="Planning and Construction Year 1" dataDxfId="365"/>
    <tableColumn id="4" xr3:uid="{4B097EAD-7583-4E9D-A1DA-BD5B65FAE8AC}" name="Planning and Construction Year 2" dataDxfId="364"/>
    <tableColumn id="5" xr3:uid="{D3114E2A-D997-45C2-BAD8-9CD8EF159C85}" name="Operational Year 3"/>
    <tableColumn id="6" xr3:uid="{5542B245-54DA-4C28-86E8-DFE3729FE2A4}" name="Operational Year 4" dataDxfId="363"/>
    <tableColumn id="7" xr3:uid="{6C971D48-E0F9-40D9-9D85-7FC550D58D53}" name="Operational Year 5" dataDxfId="362"/>
    <tableColumn id="8" xr3:uid="{76A81A34-2976-4094-BB03-AACE34F81A71}" name="Operational Year 6" dataDxfId="361"/>
    <tableColumn id="9" xr3:uid="{8C57D210-A246-4E23-BDAE-595492079080}" name="Operational Year 7" dataDxfId="360"/>
    <tableColumn id="10" xr3:uid="{B49CD7D2-DEE3-4C96-A1B7-48DCF62E5EBC}" name="Operational Year 8" dataDxfId="359"/>
    <tableColumn id="11" xr3:uid="{BF60C885-E469-4134-951D-CF23D712E45B}" name="Operational Year 9" dataDxfId="358"/>
    <tableColumn id="12" xr3:uid="{20DC4E80-6660-4EDF-9CCF-0392AC9061D2}" name="Operational Year 10" dataDxfId="357"/>
    <tableColumn id="13" xr3:uid="{64D11EE1-BD70-46B4-8DC3-9E1FE41DB2F0}" name="Operational Year 11" dataDxfId="356"/>
    <tableColumn id="14" xr3:uid="{308B5515-0BA1-4C83-AA96-28A71CE10800}" name="Operational Year 12" dataDxfId="355"/>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AF8EC76-EBDF-46B4-8D05-C3BFA77CEACB}" name="Ongoing_Capital_Costs" displayName="Ongoing_Capital_Costs" ref="A25:N26" totalsRowShown="0" headerRowDxfId="354" dataDxfId="353" tableBorderDxfId="352" dataCellStyle="Currency">
  <autoFilter ref="A25:N26" xr:uid="{AAF8EC76-EBDF-46B4-8D05-C3BFA77CEA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EDAC328-D800-40D9-91A1-9F60A2BE00C8}" name="Ongoing Capital Cost During Operational Period" dataDxfId="351"/>
    <tableColumn id="2" xr3:uid="{FB894399-5D03-458C-880B-408BFF5F4776}" name="Planning and Construction Year 0" dataDxfId="350"/>
    <tableColumn id="3" xr3:uid="{41818C95-9AE3-4967-8E61-917F9D2E0BA9}" name="Planning and Construction Year 1" dataDxfId="349"/>
    <tableColumn id="4" xr3:uid="{EBDA5B0F-3C61-43D0-98D3-50F9E5E5B8B3}" name="Planning and Construction Year 2" dataDxfId="348"/>
    <tableColumn id="5" xr3:uid="{88076180-932C-48B5-9A71-DDC09B3E288F}" name="Operational Year 3" dataDxfId="347" dataCellStyle="Currency"/>
    <tableColumn id="6" xr3:uid="{4CCAB15E-A42F-4665-B4A6-49E08536A176}" name="Operational Year 4" dataDxfId="346" dataCellStyle="Currency"/>
    <tableColumn id="7" xr3:uid="{5CEDD16D-96E3-4343-BA38-587AAF911711}" name="Operational Year 5" dataDxfId="345" dataCellStyle="Currency"/>
    <tableColumn id="8" xr3:uid="{E52B3122-ACCD-434F-AA1B-A65E31242436}" name="Operational Year 6" dataDxfId="344" dataCellStyle="Currency"/>
    <tableColumn id="9" xr3:uid="{79D7F24A-7A7C-4470-8B35-B70E3E2DD872}" name="Operational Year 7" dataDxfId="343" dataCellStyle="Currency"/>
    <tableColumn id="10" xr3:uid="{27B3B5C9-F5C3-429F-A6C9-994D9B58C676}" name="Operational Year 8" dataDxfId="342" dataCellStyle="Currency"/>
    <tableColumn id="11" xr3:uid="{9C5883D5-1FE9-43A8-9C83-CD652BC21EBD}" name="Operational Year 9" dataDxfId="341" dataCellStyle="Currency"/>
    <tableColumn id="12" xr3:uid="{1248CD3A-0AAD-438B-82C1-CB2219B40F4D}" name="Operational Year 10" dataDxfId="340" dataCellStyle="Currency"/>
    <tableColumn id="13" xr3:uid="{0B76A5DC-13FC-4343-89B9-936A82627FAC}" name="Operational Year 11" dataDxfId="339" dataCellStyle="Currency"/>
    <tableColumn id="14" xr3:uid="{02521E21-D424-4E09-B1F5-C529692E0C5C}" name="Operational Year 12" dataDxfId="338" dataCellStyle="Currency"/>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B05C6BC-5680-4686-AC58-E666921F6F17}" name="Federal_Coverage_Percentages" displayName="Federal_Coverage_Percentages" ref="A30:N31" totalsRowShown="0" headerRowDxfId="337" dataDxfId="336" tableBorderDxfId="335" dataCellStyle="Percent">
  <autoFilter ref="A30:N31" xr:uid="{2B05C6BC-5680-4686-AC58-E666921F6F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56CA22A-BAF5-48E8-B34A-BB3CC5854BDD}" name="P3 Inputs (Grants and Performance Based P3)" dataDxfId="334"/>
    <tableColumn id="2" xr3:uid="{1E1EEBEB-CF89-43D6-86C8-23FB4D0DCE32}" name="Planning and Construction Year 0" dataDxfId="333" dataCellStyle="Percent"/>
    <tableColumn id="3" xr3:uid="{689F6BEE-CAA7-4F6A-A433-2BD4A9C33472}" name="Planning and Construction Year 1" dataDxfId="332" dataCellStyle="Percent">
      <calculatedColumnFormula>$B$31</calculatedColumnFormula>
    </tableColumn>
    <tableColumn id="4" xr3:uid="{52B3E221-0EAB-4B96-936D-C92DC112EF68}" name="Planning and Construction Year 2" dataDxfId="331" dataCellStyle="Percent">
      <calculatedColumnFormula>$B$31</calculatedColumnFormula>
    </tableColumn>
    <tableColumn id="5" xr3:uid="{492086FC-9D8E-4EE2-ABAD-ACA3F3716815}" name="Operational Year 3" dataDxfId="330" dataCellStyle="Percent">
      <calculatedColumnFormula>$B$31</calculatedColumnFormula>
    </tableColumn>
    <tableColumn id="6" xr3:uid="{0C92C346-3025-44DA-93F6-8BBEA8B4B828}" name="Operational Year 4" dataDxfId="329" dataCellStyle="Percent">
      <calculatedColumnFormula>$B$31</calculatedColumnFormula>
    </tableColumn>
    <tableColumn id="7" xr3:uid="{56D8B9F3-4CC5-4F77-8542-78968BAD447C}" name="Operational Year 5" dataDxfId="328" dataCellStyle="Percent">
      <calculatedColumnFormula>$B$31</calculatedColumnFormula>
    </tableColumn>
    <tableColumn id="8" xr3:uid="{833BB361-F098-4B69-887D-A1FC8BBCB2EA}" name="Operational Year 6" dataDxfId="327" dataCellStyle="Percent">
      <calculatedColumnFormula>$B$31</calculatedColumnFormula>
    </tableColumn>
    <tableColumn id="9" xr3:uid="{34370C68-4E28-45FD-95E5-661EA810B375}" name="Operational Year 7" dataDxfId="326" dataCellStyle="Percent">
      <calculatedColumnFormula>$B$31</calculatedColumnFormula>
    </tableColumn>
    <tableColumn id="10" xr3:uid="{46D1508B-B525-4BDE-94D7-8097E848EB90}" name="Operational Year 8" dataDxfId="325" dataCellStyle="Percent">
      <calculatedColumnFormula>$B$31</calculatedColumnFormula>
    </tableColumn>
    <tableColumn id="11" xr3:uid="{788587DC-0EBC-4CD7-BC9F-F05BC86E5231}" name="Operational Year 9" dataDxfId="324" dataCellStyle="Percent">
      <calculatedColumnFormula>$B$31</calculatedColumnFormula>
    </tableColumn>
    <tableColumn id="12" xr3:uid="{B56B0A9B-4005-4F18-9C50-A3DEBBF277C8}" name="Operational Year 10" dataDxfId="323" dataCellStyle="Percent">
      <calculatedColumnFormula>$B$31</calculatedColumnFormula>
    </tableColumn>
    <tableColumn id="13" xr3:uid="{1660FDE9-CBF5-48EE-BB01-A6708D35B697}" name="Operational Year 11" dataDxfId="322" dataCellStyle="Percent">
      <calculatedColumnFormula>$B$31</calculatedColumnFormula>
    </tableColumn>
    <tableColumn id="14" xr3:uid="{4C0FDD8F-E90C-44DA-8DCD-EBF31044D602}" name="Operational Year 12" dataDxfId="321" dataCellStyle="Percent">
      <calculatedColumnFormula>$B$31</calculatedColumnFormula>
    </tableColumn>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5E30E0D-5790-42CF-AB40-6FA75D60D255}" name="Revenue_Estimate_EVCI" displayName="Revenue_Estimate_EVCI" ref="A35:N43" totalsRowShown="0" headerRowDxfId="320" dataDxfId="319" tableBorderDxfId="318">
  <autoFilter ref="A35:N43" xr:uid="{05E30E0D-5790-42CF-AB40-6FA75D60D2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D40F87D-3C23-4F8A-A441-4062CA13A373}" name="Total Revenue Calculation for EVCI" dataDxfId="317"/>
    <tableColumn id="2" xr3:uid="{853D0878-1104-46CF-9783-952584890063}" name="Planning and Construction Year 0" dataDxfId="316"/>
    <tableColumn id="3" xr3:uid="{556D9340-F030-4931-BFFB-50F63B93B99A}" name="Planning and Construction Year 1" dataDxfId="315"/>
    <tableColumn id="4" xr3:uid="{E655B015-070A-4896-9375-99B44CA53CD1}" name="Planning and Construction Year 2" dataDxfId="314"/>
    <tableColumn id="5" xr3:uid="{72228E6B-D67B-490C-ADC0-109AC6B81BCC}" name="Operational Year 3"/>
    <tableColumn id="6" xr3:uid="{C025C72E-30AF-48AE-83A5-1F65D66038CF}" name="Operational Year 4" dataDxfId="313"/>
    <tableColumn id="7" xr3:uid="{44046CC7-C41E-43B2-BA0A-75E8317279B3}" name="Operational Year 5" dataDxfId="312"/>
    <tableColumn id="8" xr3:uid="{A076E658-5B76-4DD2-ABC1-5706E88506A8}" name="Operational Year 6" dataDxfId="311"/>
    <tableColumn id="9" xr3:uid="{9E3A6E6E-5C05-422A-85FF-07D7D75A669D}" name="Operational Year 7" dataDxfId="310"/>
    <tableColumn id="10" xr3:uid="{305D0587-E19C-47F0-AC56-E05CDF59B0B4}" name="Operational Year 8" dataDxfId="309"/>
    <tableColumn id="11" xr3:uid="{6E87D2BF-1ACB-4A92-8286-A531317B544F}" name="Operational Year 9" dataDxfId="308"/>
    <tableColumn id="12" xr3:uid="{F0A060E0-93DF-4068-86E5-CD165CECF161}" name="Operational Year 10" dataDxfId="307"/>
    <tableColumn id="13" xr3:uid="{8EEFE649-8547-4412-8C23-912CA1C5CBA8}" name="Operational Year 11" dataDxfId="306"/>
    <tableColumn id="14" xr3:uid="{86E4B5BB-2EDF-44D6-8C56-14EBC69CC0C7}" name="Operational Year 12"/>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38F3EBC-8896-4255-922E-1C34BA6075A2}" name="MRG_Percentages" displayName="MRG_Percentages" ref="A47:N48" totalsRowShown="0" headerRowDxfId="305" dataDxfId="304" tableBorderDxfId="303" dataCellStyle="Percent">
  <autoFilter ref="A47:N48" xr:uid="{038F3EBC-8896-4255-922E-1C34BA6075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DE44320-D6E2-413A-97D5-0BE83FE45CD2}" name="Minimum Revenue Guarantee" dataDxfId="302"/>
    <tableColumn id="2" xr3:uid="{44B8B248-0ED6-4EC2-83F1-3BCE5A87218A}" name="Planning and Construction Year 0" dataDxfId="301"/>
    <tableColumn id="3" xr3:uid="{3061CB2E-5C02-4DDA-990A-C56F25161007}" name="Planning and Construction Year 1" dataDxfId="300"/>
    <tableColumn id="4" xr3:uid="{1093AA7E-C852-4A9B-ACC5-BE807BF5E1DC}" name="Planning and Construction Year 2" dataDxfId="299"/>
    <tableColumn id="5" xr3:uid="{A26AE1FF-9085-4652-BC48-9B9EB735A969}" name="Operational Year 3" dataDxfId="298" dataCellStyle="Percent"/>
    <tableColumn id="6" xr3:uid="{89D26A4D-8BF3-4275-906C-CD2E56141F36}" name="Operational Year 4" dataDxfId="297" dataCellStyle="Percent">
      <calculatedColumnFormula>$E$48</calculatedColumnFormula>
    </tableColumn>
    <tableColumn id="7" xr3:uid="{7F2C1A2B-948F-4FAA-91B1-1712F2717F8E}" name="Operational Year 5" dataDxfId="296" dataCellStyle="Percent">
      <calculatedColumnFormula>$E$48</calculatedColumnFormula>
    </tableColumn>
    <tableColumn id="8" xr3:uid="{7CB4E30E-4C9B-4805-977B-B799D364100E}" name="Operational Year 6" dataDxfId="295" dataCellStyle="Percent">
      <calculatedColumnFormula>$E$48</calculatedColumnFormula>
    </tableColumn>
    <tableColumn id="9" xr3:uid="{8C26ADE0-79B1-4928-836F-214E99866EC6}" name="Operational Year 7" dataDxfId="294" dataCellStyle="Percent">
      <calculatedColumnFormula>$E$48</calculatedColumnFormula>
    </tableColumn>
    <tableColumn id="10" xr3:uid="{A74E9CD7-645D-4877-84B0-ADC8A49A74BC}" name="Operational Year 8" dataDxfId="293" dataCellStyle="Percent">
      <calculatedColumnFormula>$E$48</calculatedColumnFormula>
    </tableColumn>
    <tableColumn id="11" xr3:uid="{0ABB3382-99C5-4ED6-B9C1-D3098A5F4214}" name="Operational Year 9" dataDxfId="292" dataCellStyle="Percent">
      <calculatedColumnFormula>$E$48</calculatedColumnFormula>
    </tableColumn>
    <tableColumn id="12" xr3:uid="{B61EAE10-F572-480E-9ACF-ABBCAAE47905}" name="Operational Year 10" dataDxfId="291" dataCellStyle="Percent">
      <calculatedColumnFormula>$E$48</calculatedColumnFormula>
    </tableColumn>
    <tableColumn id="13" xr3:uid="{DF127993-B68E-47CD-9C17-1EAB95EC6F91}" name="Operational Year 11" dataDxfId="290" dataCellStyle="Percent">
      <calculatedColumnFormula>$E$48</calculatedColumnFormula>
    </tableColumn>
    <tableColumn id="14" xr3:uid="{82A13696-D9BA-4059-B40D-D365734474A1}" name="Operational Year 12" dataDxfId="289" dataCellStyle="Percent">
      <calculatedColumnFormula>$E$48</calculatedColumnFormula>
    </tableColumn>
  </tableColumns>
  <tableStyleInfo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EA45BD6-0346-43BD-980B-FC3E192B670E}" name="Revenue_Sharing_Percentages" displayName="Revenue_Sharing_Percentages" ref="A50:N52" totalsRowShown="0" headerRowDxfId="288" dataDxfId="287" tableBorderDxfId="286" dataCellStyle="Percent">
  <autoFilter ref="A50:N52" xr:uid="{BEA45BD6-0346-43BD-980B-FC3E192B67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317599-C0FB-4724-84B3-0420AE1FE202}" name="Revenue Sharing Strategy" dataDxfId="285"/>
    <tableColumn id="2" xr3:uid="{A29204FF-09B7-4728-BC50-41441BEB75C8}" name="Planning and Construction Year 0" dataDxfId="284"/>
    <tableColumn id="3" xr3:uid="{3F4D36D4-9C50-4CD6-9EB4-B3C16105E81D}" name="Planning and Construction Year 1" dataDxfId="283"/>
    <tableColumn id="4" xr3:uid="{B68C590E-16EE-4F22-A648-8FA6364D08D9}" name="Planning and Construction Year 2" dataDxfId="282"/>
    <tableColumn id="5" xr3:uid="{B9DE7569-9C7A-446C-B6D2-4A714EBCD014}" name="Operational Year 3" dataDxfId="281" dataCellStyle="Percent"/>
    <tableColumn id="6" xr3:uid="{6C8A7969-BF24-4D57-8AE1-060E1AE3FEC1}" name="Operational Year 4" dataDxfId="280" dataCellStyle="Percent">
      <calculatedColumnFormula>$E$52</calculatedColumnFormula>
    </tableColumn>
    <tableColumn id="7" xr3:uid="{76CFDA4B-0678-4047-8B1D-865C7A21D01B}" name="Operational Year 5" dataDxfId="279" dataCellStyle="Percent">
      <calculatedColumnFormula>$E$52</calculatedColumnFormula>
    </tableColumn>
    <tableColumn id="8" xr3:uid="{0A7038D9-30CC-4B40-8931-128D8668B9E8}" name="Operational Year 6" dataDxfId="278" dataCellStyle="Percent">
      <calculatedColumnFormula>$E$52</calculatedColumnFormula>
    </tableColumn>
    <tableColumn id="9" xr3:uid="{968EE55A-467D-4116-9305-E3A813C3FB22}" name="Operational Year 7" dataDxfId="277" dataCellStyle="Percent">
      <calculatedColumnFormula>$E$52</calculatedColumnFormula>
    </tableColumn>
    <tableColumn id="10" xr3:uid="{73DB32C6-7AE6-4C21-B600-D614EF542330}" name="Operational Year 8" dataDxfId="276" dataCellStyle="Percent">
      <calculatedColumnFormula>$E$52</calculatedColumnFormula>
    </tableColumn>
    <tableColumn id="11" xr3:uid="{FA736A96-3023-47BB-9E76-5BB9FF6E3CE1}" name="Operational Year 9" dataDxfId="275" dataCellStyle="Percent">
      <calculatedColumnFormula>$E$52</calculatedColumnFormula>
    </tableColumn>
    <tableColumn id="12" xr3:uid="{8EA1A38E-5CDC-4CAC-86AB-3214E9502CF4}" name="Operational Year 10" dataDxfId="274" dataCellStyle="Percent">
      <calculatedColumnFormula>$E$52</calculatedColumnFormula>
    </tableColumn>
    <tableColumn id="13" xr3:uid="{A4EC8B4C-BE70-49D9-B21C-3B1AE7DB7FFD}" name="Operational Year 11" dataDxfId="273" dataCellStyle="Percent">
      <calculatedColumnFormula>$E$52</calculatedColumnFormula>
    </tableColumn>
    <tableColumn id="14" xr3:uid="{C0D5588E-27A6-416C-9D42-BB69D3456954}" name="Operational Year 12" dataDxfId="272" dataCellStyle="Percent">
      <calculatedColumnFormula>$E$52</calculatedColumnFormula>
    </tableColumn>
  </tableColumns>
  <tableStyleInfo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E5370FB-78C1-480A-8BEC-A8AA121DFDAA}" name="Additional_Agency_Returns" displayName="Additional_Agency_Returns" ref="A54:N55" totalsRowShown="0" headerRowDxfId="271" dataDxfId="270" tableBorderDxfId="269">
  <autoFilter ref="A54:N55" xr:uid="{DE5370FB-78C1-480A-8BEC-A8AA121DFD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07600B1-B98E-4CDE-ABC9-A543EACE8042}" name="Additional Returns to the Agency" dataDxfId="268"/>
    <tableColumn id="2" xr3:uid="{FF04E061-C2A9-4583-AA60-4551CC9F398C}" name="Planning and Construction Year 0" dataDxfId="267"/>
    <tableColumn id="3" xr3:uid="{938D2333-E9B6-408B-83C2-FE143451B8AD}" name="Planning and Construction Year 1" dataDxfId="266"/>
    <tableColumn id="4" xr3:uid="{C5349F96-4811-4C2D-9046-BB9C479EF849}" name="Planning and Construction Year 2" dataDxfId="265"/>
    <tableColumn id="5" xr3:uid="{DF0E83C7-36BB-4C20-8E93-160E947253DF}" name="Operational Year 3" dataDxfId="264"/>
    <tableColumn id="6" xr3:uid="{F155E08D-F787-4015-8B71-349857784BC9}" name="Operational Year 4" dataDxfId="263"/>
    <tableColumn id="7" xr3:uid="{00DF58D9-68A6-4E08-8EB8-E131783423E9}" name="Operational Year 5" dataDxfId="262"/>
    <tableColumn id="8" xr3:uid="{5A4A441B-B46A-4CBF-9299-04CA04C086E3}" name="Operational Year 6" dataDxfId="261"/>
    <tableColumn id="9" xr3:uid="{F3FE4630-B0B1-4AD6-BD0E-505BF9B3FB73}" name="Operational Year 7" dataDxfId="260"/>
    <tableColumn id="10" xr3:uid="{61D0B831-546A-475D-A158-302023CABF42}" name="Operational Year 8" dataDxfId="259"/>
    <tableColumn id="11" xr3:uid="{880A7521-A918-4DD5-86C8-E64CB7630F5C}" name="Operational Year 9" dataDxfId="258"/>
    <tableColumn id="12" xr3:uid="{F13F7206-F191-4B77-B325-0C6FB75A1BF2}" name="Operational Year 10" dataDxfId="257"/>
    <tableColumn id="13" xr3:uid="{51D9CB7C-8FFF-4B4F-BFE6-B4351BE3DFDF}" name="Operational Year 11" dataDxfId="256"/>
    <tableColumn id="14" xr3:uid="{0C3FC143-ABFB-4565-AC33-68E86E9624D5}" name="Operational Year 12" dataDxfId="255"/>
  </tableColumns>
  <tableStyleInfo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89C540-35DF-42E3-931C-64AAD06D61E7}" name="Legend_2" displayName="Legend_2" ref="A7:B11" totalsRowShown="0" headerRowBorderDxfId="254" tableBorderDxfId="253" totalsRowBorderDxfId="252">
  <autoFilter ref="A7:B11" xr:uid="{CA89C540-35DF-42E3-931C-64AAD06D61E7}">
    <filterColumn colId="0" hiddenButton="1"/>
    <filterColumn colId="1" hiddenButton="1"/>
  </autoFilter>
  <tableColumns count="2">
    <tableColumn id="1" xr3:uid="{00A84635-5198-440E-A0C0-DA5F398B6222}" name="Data Types" dataDxfId="251"/>
    <tableColumn id="2" xr3:uid="{DADF9701-1E3A-48F8-A409-3449F536D14F}" name="Symbols"/>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BE0E80A-A88F-4E5D-96D4-1BEA452E3EE7}" name="Cost_Estimate_Output" displayName="Cost_Estimate_Output" ref="A8:N12" totalsRowShown="0" headerRowDxfId="250" tableBorderDxfId="249">
  <autoFilter ref="A8:N12" xr:uid="{6BE0E80A-A88F-4E5D-96D4-1BEA452E3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18A8162-8F6B-4552-A324-8AB57AC76D26}" name="Total Annual Cost Breakdown"/>
    <tableColumn id="2" xr3:uid="{14ADED87-4314-4E4F-9084-8CDB67035912}" name="Planning and Construction Year 0"/>
    <tableColumn id="3" xr3:uid="{5AEECE34-5EB4-4F89-BF1B-0A6DC74051C0}" name="Planning and Construction Year 1"/>
    <tableColumn id="4" xr3:uid="{5A1611BB-E92A-4BB6-B7AD-2294373B13B4}" name="Planning and Construction Year 2"/>
    <tableColumn id="5" xr3:uid="{31A0CC9B-CC8F-4577-8396-2B0E8E686224}" name="Operational Year 3"/>
    <tableColumn id="6" xr3:uid="{7BE7D06E-B13E-4D03-8048-5CF13E66B225}" name="Operational Year 4"/>
    <tableColumn id="7" xr3:uid="{39698749-EC3B-4F80-806D-17168CF2B7BC}" name="Operational Year 5"/>
    <tableColumn id="8" xr3:uid="{CD49BEEE-3B5F-4FD9-8149-F38EC877BBD1}" name="Operational Year 6"/>
    <tableColumn id="9" xr3:uid="{79616951-2500-4C4E-9C1A-D007ACB87870}" name="Operational Year 7"/>
    <tableColumn id="10" xr3:uid="{76B0C84F-368D-4B03-888C-7A0A5B68ED8F}" name="Operational Year 8"/>
    <tableColumn id="11" xr3:uid="{593E24AC-8458-450F-9022-88FFE384A572}" name="Operational Year 9"/>
    <tableColumn id="12" xr3:uid="{7DDB0B7C-BE65-4EF4-A721-36823C4573AC}" name="Operational Year 10"/>
    <tableColumn id="13" xr3:uid="{39430F8C-A6F9-4322-B415-2D17BBCBA7BF}" name="Operational Year 11"/>
    <tableColumn id="14" xr3:uid="{2DCE4769-CED6-4150-9117-D889C88680B3}" name="Operational Year 12"/>
  </tableColumns>
  <tableStyleInfo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938D93C-9A18-4EE1-B135-A95F4159B3CA}" name="Total_Costs" displayName="Total_Costs" ref="A14:B18" totalsRowShown="0" headerRowDxfId="248" tableBorderDxfId="247" headerRowCellStyle="Heading 6">
  <autoFilter ref="A14:B18" xr:uid="{F938D93C-9A18-4EE1-B135-A95F4159B3CA}">
    <filterColumn colId="0" hiddenButton="1"/>
    <filterColumn colId="1" hiddenButton="1"/>
  </autoFilter>
  <tableColumns count="2">
    <tableColumn id="1" xr3:uid="{DF4DCBF8-5F9A-4738-BF25-F7ADB895CCE0}" name="NPV of Total Costs"/>
    <tableColumn id="2" xr3:uid="{37504E34-9CA3-4DBB-A2A8-3A0135BC36BA}" name="Values"/>
  </tableColumns>
  <tableStyleInfo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478B972-640C-4CC6-94B3-3364C05183DE}" name="Total_Availability_Payments" displayName="Total_Availability_Payments" ref="A24:B26" totalsRowShown="0" tableBorderDxfId="246">
  <autoFilter ref="A24:B26" xr:uid="{2478B972-640C-4CC6-94B3-3364C05183DE}">
    <filterColumn colId="0" hiddenButton="1"/>
    <filterColumn colId="1" hiddenButton="1"/>
  </autoFilter>
  <tableColumns count="2">
    <tableColumn id="1" xr3:uid="{CC16065E-002C-4F90-B8E2-E78669068F7D}" name="Calculation of Total Availability Payment" dataDxfId="245"/>
    <tableColumn id="2" xr3:uid="{BE7DFC9F-0641-4712-ACEA-85407E389722}" name="Values" dataDxfId="244" dataCellStyle="Currency">
      <calculatedColumnFormula>IF(B24&gt;0,0,ABS(B24))</calculatedColumnFormula>
    </tableColumn>
  </tableColumns>
  <tableStyleInfo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10E81FD-969B-4300-808A-D7A5B0AEF612}" name="Federal_Reimbursement_Calculations" displayName="Federal_Reimbursement_Calculations" ref="A28:N37" totalsRowShown="0" headerRowDxfId="243" tableBorderDxfId="242">
  <autoFilter ref="A28:N37" xr:uid="{310E81FD-969B-4300-808A-D7A5B0AEF6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AA18FE6-E1D2-4297-8D8B-35E1E0B5C823}" name="Availability Payments and Federal Reimbursement Calculation - Time Series"/>
    <tableColumn id="2" xr3:uid="{DF759F7E-4B1F-40E4-A68C-5EE4E3F2AB4C}" name="Planning and Construction Year 0" dataDxfId="241"/>
    <tableColumn id="3" xr3:uid="{CABD9144-6F39-432E-BE53-AEB4795F7514}" name="Planning and Construction Year 1" dataDxfId="240"/>
    <tableColumn id="4" xr3:uid="{48F9A123-59ED-43C8-AA2F-48DC00EA286E}" name="Planning and Construction Year 2" dataDxfId="239"/>
    <tableColumn id="5" xr3:uid="{CA0A460B-EC65-4DCD-BB75-DF4E462AF5C3}" name="Operational Year 3"/>
    <tableColumn id="6" xr3:uid="{8811F10C-BCBA-4942-B199-4860EC1BB1AB}" name="Operational Year 4"/>
    <tableColumn id="7" xr3:uid="{F3C9DF04-C732-4DCF-A297-ACBEC52AE826}" name="Operational Year 5"/>
    <tableColumn id="8" xr3:uid="{B7699DDF-A3D9-47CB-BE82-360B70653F2A}" name="Operational Year 6"/>
    <tableColumn id="9" xr3:uid="{65DB34D1-E957-4776-B064-A201584420BE}" name="Operational Year 7"/>
    <tableColumn id="10" xr3:uid="{0BF0C9CF-7400-449C-AD7A-0A19838BB610}" name="Operational Year 8"/>
    <tableColumn id="11" xr3:uid="{F1F6B353-585D-4EE8-B77F-DD9CDDB49DAB}" name="Operational Year 9"/>
    <tableColumn id="12" xr3:uid="{76C613F5-FE47-4A62-A4A7-1C253918E582}" name="Operational Year 10"/>
    <tableColumn id="13" xr3:uid="{2F9234A1-91F7-422E-B9B2-48523C0369D9}" name="Operational Year 11"/>
    <tableColumn id="14" xr3:uid="{76B2C7C4-093D-4AE7-93FE-DE4F1EBB45C8}" name="Operational Year 12"/>
  </tableColumns>
  <tableStyleInfo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6A724B2-E840-4138-8201-628C841402A5}" name="Grant_Payments_Time_Series" displayName="Grant_Payments_Time_Series" ref="A41:N42" totalsRowShown="0" headerRowDxfId="238" dataDxfId="237" tableBorderDxfId="236">
  <autoFilter ref="A41:N42" xr:uid="{46A724B2-E840-4138-8201-628C841402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C325359-3F6F-4F6B-89D7-5C266CD0E81E}" name="Grant Payments - Time Series" dataDxfId="235"/>
    <tableColumn id="2" xr3:uid="{0EC46D75-25BC-4624-8B5E-B5B852C605A3}" name="Planning and Construction Year 0" dataDxfId="234">
      <calculatedColumnFormula>B12*'Inputs - Time Series'!B31</calculatedColumnFormula>
    </tableColumn>
    <tableColumn id="3" xr3:uid="{4338EE53-882A-4660-B184-DBDD363F1CD2}" name="Planning and Construction Year 1" dataDxfId="233">
      <calculatedColumnFormula>C12*'Inputs - Time Series'!C31</calculatedColumnFormula>
    </tableColumn>
    <tableColumn id="4" xr3:uid="{80F5E180-CB98-4858-A62E-D76A3F751677}" name="Planning and Construction Year 2" dataDxfId="232">
      <calculatedColumnFormula>D12*'Inputs - Time Series'!D31</calculatedColumnFormula>
    </tableColumn>
    <tableColumn id="5" xr3:uid="{E2BCC757-4B74-4D0E-86FF-4844B770FDE8}" name="Operational Year 3" dataDxfId="231">
      <calculatedColumnFormula>IF('Inputs - Constant'!E90="Yes",(IF(E55-E12&gt;0,0,E12-E55))*'Inputs - Time Series'!E31,0)</calculatedColumnFormula>
    </tableColumn>
    <tableColumn id="6" xr3:uid="{53907706-DE5C-4455-BA92-F3790267FB2C}" name="Operational Year 4" dataDxfId="230">
      <calculatedColumnFormula>IF('Inputs - Constant'!F90="Yes",(IF(F55-F12&gt;0,0,F12-F55))*'Inputs - Time Series'!F31,0)</calculatedColumnFormula>
    </tableColumn>
    <tableColumn id="7" xr3:uid="{5706EFD1-DA86-4591-AC81-D8AAB589A0DA}" name="Operational Year 5" dataDxfId="229">
      <calculatedColumnFormula>IF('Inputs - Constant'!G90="Yes",(IF(G55-G12&gt;0,0,G12-G55))*'Inputs - Time Series'!G31,0)</calculatedColumnFormula>
    </tableColumn>
    <tableColumn id="8" xr3:uid="{3252BFC8-F002-4022-8354-3A3F36ED01C7}" name="Operational Year 6" dataDxfId="228">
      <calculatedColumnFormula>IF('Inputs - Constant'!H90="Yes",(IF(H55-H12&gt;0,0,H12-H55))*'Inputs - Time Series'!H31,0)</calculatedColumnFormula>
    </tableColumn>
    <tableColumn id="9" xr3:uid="{CB6F26EF-31B1-4646-B319-A855244643FF}" name="Operational Year 7" dataDxfId="227">
      <calculatedColumnFormula>IF('Inputs - Constant'!I90="Yes",(IF(I55-I12&gt;0,0,I12-I55))*'Inputs - Time Series'!I31,0)</calculatedColumnFormula>
    </tableColumn>
    <tableColumn id="10" xr3:uid="{3F97BA0C-F14B-4624-A93C-3DE86377659F}" name="Operational Year 8" dataDxfId="226">
      <calculatedColumnFormula>IF('Inputs - Constant'!J90="Yes",(IF(J55-J12&gt;0,0,J12-J55))*'Inputs - Time Series'!J31,0)</calculatedColumnFormula>
    </tableColumn>
    <tableColumn id="11" xr3:uid="{7A4BBF9C-7545-47C6-BC0C-8E08EBD98E95}" name="Operational Year 9" dataDxfId="225">
      <calculatedColumnFormula>IF('Inputs - Constant'!K90="Yes",(IF(K55-K12&gt;0,0,K12-K55))*'Inputs - Time Series'!K31,0)</calculatedColumnFormula>
    </tableColumn>
    <tableColumn id="12" xr3:uid="{BCE8FE30-4058-473D-8116-7284ACF4C67F}" name="Operational Year 10" dataDxfId="224">
      <calculatedColumnFormula>IF('Inputs - Constant'!L90="Yes",(IF(L55-L12&gt;0,0,L12-L55))*'Inputs - Time Series'!L31,0)</calculatedColumnFormula>
    </tableColumn>
    <tableColumn id="13" xr3:uid="{DC5A886C-8D55-4783-9002-D9100C58908E}" name="Operational Year 11" dataDxfId="223">
      <calculatedColumnFormula>IF('Inputs - Constant'!M90="Yes",(IF(M55-M12&gt;0,0,M12-M55))*'Inputs - Time Series'!M31,0)</calculatedColumnFormula>
    </tableColumn>
    <tableColumn id="14" xr3:uid="{0F99A29D-61DF-4293-94D7-0EF2A91CFB97}" name="Operational Year 12" dataDxfId="222">
      <calculatedColumnFormula>IF('Inputs - Constant'!N90="Yes",(IF(N55-N12&gt;0,0,N12-N55))*'Inputs - Time Series'!N31,0)</calculatedColumnFormula>
    </tableColumn>
  </tableColumns>
  <tableStyleInfo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B77FE7D-9A31-4032-A6D5-06AB80413650}" name="Total_Grant" displayName="Total_Grant" ref="A44:B45" totalsRowShown="0" tableBorderDxfId="221">
  <autoFilter ref="A44:B45" xr:uid="{CB77FE7D-9A31-4032-A6D5-06AB80413650}">
    <filterColumn colId="0" hiddenButton="1"/>
    <filterColumn colId="1" hiddenButton="1"/>
  </autoFilter>
  <tableColumns count="2">
    <tableColumn id="1" xr3:uid="{186E7F73-49FE-49F3-9F2A-5A7F78FC25AC}" name="Calculation of Total Grant" dataDxfId="220"/>
    <tableColumn id="2" xr3:uid="{9BFDCE82-C93E-4BDE-8256-5D65E717F994}" name="Value" dataDxfId="219">
      <calculatedColumnFormula>SUMPRODUCT(B42:N42,DCF!B31:N31)</calculatedColumnFormula>
    </tableColumn>
  </tableColumns>
  <tableStyleInfo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C843C79-AA5D-4F3D-9914-C6CCF9A5B254}" name="Selected_Revenue_Scenario" displayName="Selected_Revenue_Scenario" ref="A49:B51" totalsRowShown="0" tableBorderDxfId="218">
  <autoFilter ref="A49:B51" xr:uid="{5C843C79-AA5D-4F3D-9914-C6CCF9A5B254}">
    <filterColumn colId="0" hiddenButton="1"/>
    <filterColumn colId="1" hiddenButton="1"/>
  </autoFilter>
  <tableColumns count="2">
    <tableColumn id="1" xr3:uid="{DE937943-3177-4A73-A5BC-375E0E929445}" name="Revenue Scenario and Multiple" dataDxfId="217"/>
    <tableColumn id="2" xr3:uid="{43B6F002-3143-4679-881A-5921D40F3C42}" name="Selection">
      <calculatedColumnFormula>HLOOKUP($B$50,'Inputs - Constant'!$A$32:$C$33,2,FALSE)</calculatedColumnFormula>
    </tableColumn>
  </tableColumns>
  <tableStyleInfo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2078E02-B39E-4F0C-B833-7FE74CB46EDC}" name="Total_Revenue_Output" displayName="Total_Revenue_Output" ref="A53:N57" totalsRowShown="0" headerRowDxfId="216" tableBorderDxfId="215">
  <autoFilter ref="A53:N57" xr:uid="{72078E02-B39E-4F0C-B833-7FE74CB46E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9853644-48F8-40DF-9541-AE954FF960B8}" name="Revenue Estimates"/>
    <tableColumn id="2" xr3:uid="{BB8E7659-E92F-4CE6-A877-8B962A5EB87E}" name="Planning and Construction Year 0" dataDxfId="214"/>
    <tableColumn id="3" xr3:uid="{778B1A03-721C-406C-A559-F4A8B75BD133}" name="Planning and Construction Year 1" dataDxfId="213"/>
    <tableColumn id="4" xr3:uid="{CCCAC2E9-51BC-4C35-AB9C-1CC4A51019F0}" name="Planning and Construction Year 2" dataDxfId="212"/>
    <tableColumn id="5" xr3:uid="{4F23E729-CFF3-4A85-A001-7A783364E782}" name="Operational Year 3"/>
    <tableColumn id="6" xr3:uid="{6CDF2E2A-51A9-4238-B3A2-7FF8A475CD1E}" name="Operational Year 4"/>
    <tableColumn id="7" xr3:uid="{641716CB-BCC4-490C-87A8-FEAEB20ED975}" name="Operational Year 5"/>
    <tableColumn id="8" xr3:uid="{A8B715D3-F173-45BD-A0F8-791C6AC9383A}" name="Operational Year 6"/>
    <tableColumn id="9" xr3:uid="{1B494E5E-5C53-4BC8-B175-D442E9251F79}" name="Operational Year 7"/>
    <tableColumn id="10" xr3:uid="{E112F3BD-1CAB-4773-B423-C10784481033}" name="Operational Year 8"/>
    <tableColumn id="11" xr3:uid="{FF0C72AD-B766-4F9F-8159-12A8ABFD52EA}" name="Operational Year 9"/>
    <tableColumn id="12" xr3:uid="{61040996-2B1A-46E0-ABEE-707C546A478A}" name="Operational Year 10"/>
    <tableColumn id="13" xr3:uid="{3277ACD7-FA64-4750-AE35-E4A2FA862E76}" name="Operational Year 11"/>
    <tableColumn id="14" xr3:uid="{377CDAB9-1779-48A7-B1EB-0DE321C68012}" name="Operational Year 12"/>
  </tableColumns>
  <tableStyleInfo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6BEA07D-FC06-4069-9075-336F5A3F442D}" name="Annual_Operating_Income" displayName="Annual_Operating_Income" ref="A61:N62" totalsRowShown="0" headerRowDxfId="211" dataDxfId="210" tableBorderDxfId="209">
  <autoFilter ref="A61:N62" xr:uid="{C6BEA07D-FC06-4069-9075-336F5A3F44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56A0D14-E758-4662-98D8-D95DD4688750}" name="Annual Operating Income" dataDxfId="208"/>
    <tableColumn id="2" xr3:uid="{5E5F86C8-8F34-4457-93C8-3C8422306E76}" name="Planning and Construction Year 0" dataDxfId="207"/>
    <tableColumn id="3" xr3:uid="{C81F759F-E1CE-448E-BD78-C428542F1746}" name="Planning and Construction Year 1" dataDxfId="206"/>
    <tableColumn id="4" xr3:uid="{EF1F4500-B10B-4622-90CB-F4A768E5145A}" name="Planning and Construction Year 2" dataDxfId="205"/>
    <tableColumn id="5" xr3:uid="{68BF5B72-3CFC-4FA8-9716-12198EDC7983}" name="Operational Year 3" dataDxfId="204">
      <calculatedColumnFormula>E57-E12</calculatedColumnFormula>
    </tableColumn>
    <tableColumn id="6" xr3:uid="{5742470C-802D-411B-85D3-FB51385E3281}" name="Operational Year 4" dataDxfId="203">
      <calculatedColumnFormula>F57-F12</calculatedColumnFormula>
    </tableColumn>
    <tableColumn id="7" xr3:uid="{B61A91F5-63BC-417B-8E66-C031F02149B5}" name="Operational Year 5" dataDxfId="202">
      <calculatedColumnFormula>G57-G12</calculatedColumnFormula>
    </tableColumn>
    <tableColumn id="8" xr3:uid="{3D0CF529-D87B-4695-A996-B8B879981760}" name="Operational Year 6" dataDxfId="201">
      <calculatedColumnFormula>H57-H12</calculatedColumnFormula>
    </tableColumn>
    <tableColumn id="9" xr3:uid="{8D0C5A2F-32FE-42DB-A43E-D0023919F7C9}" name="Operational Year 7" dataDxfId="200">
      <calculatedColumnFormula>I57-I12</calculatedColumnFormula>
    </tableColumn>
    <tableColumn id="10" xr3:uid="{6AAB9A63-F9C4-424C-BD47-80481663DE51}" name="Operational Year 8" dataDxfId="199">
      <calculatedColumnFormula>J57-J12</calculatedColumnFormula>
    </tableColumn>
    <tableColumn id="11" xr3:uid="{DC920D1B-5366-4923-A890-2D94979FFE99}" name="Operational Year 9" dataDxfId="198">
      <calculatedColumnFormula>K57-K12</calculatedColumnFormula>
    </tableColumn>
    <tableColumn id="12" xr3:uid="{5957D89E-E156-4F71-9A1D-E16AA1F400D2}" name="Operational Year 10" dataDxfId="197">
      <calculatedColumnFormula>L57-L12</calculatedColumnFormula>
    </tableColumn>
    <tableColumn id="13" xr3:uid="{64C0B84B-6000-4ECE-9080-47E91B7EB341}" name="Operational Year 11" dataDxfId="196">
      <calculatedColumnFormula>M57-M12</calculatedColumnFormula>
    </tableColumn>
    <tableColumn id="14" xr3:uid="{7C4CE025-B42C-4181-B24B-8D0C8F5786AF}" name="Operational Year 12" dataDxfId="195">
      <calculatedColumnFormula>N57-N12</calculatedColumnFormula>
    </tableColumn>
  </tableColumns>
  <tableStyleInfo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82E99E1-DB9B-47A7-99E0-9D2CEDB6E935}" name="Total_Operating_Income" displayName="Total_Operating_Income" ref="A64:B65" totalsRowShown="0" tableBorderDxfId="194">
  <autoFilter ref="A64:B65" xr:uid="{D82E99E1-DB9B-47A7-99E0-9D2CEDB6E935}">
    <filterColumn colId="0" hiddenButton="1"/>
    <filterColumn colId="1" hiddenButton="1"/>
  </autoFilter>
  <tableColumns count="2">
    <tableColumn id="1" xr3:uid="{1B019777-5471-4499-BA01-72E017694469}" name="Calculation of Total Operating Income" dataDxfId="193"/>
    <tableColumn id="2" xr3:uid="{CD72C4C1-56F2-4D77-857B-275D85B572D4}" name="Value" dataDxfId="192">
      <calculatedColumnFormula>SUMPRODUCT(DCF!E15:N15,Outputs!E62:N62)</calculatedColumnFormula>
    </tableColumn>
  </tableColumns>
  <tableStyleInfo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BEC208C-53BA-4A52-A7F7-6AF9A312E90C}" name="MRG_Output" displayName="MRG_Output" ref="A69:N73" totalsRowShown="0" headerRowDxfId="191" tableBorderDxfId="190">
  <autoFilter ref="A69:N73" xr:uid="{EBEC208C-53BA-4A52-A7F7-6AF9A312E9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27A47ED-415B-424D-9513-E6FCF8F56DFE}" name="Minimum Revenue Guarantee" dataDxfId="189"/>
    <tableColumn id="2" xr3:uid="{B2E3DD3B-4792-45BF-A8D0-1DED2FDD8226}" name="Planning and Construction Year 0" dataDxfId="188"/>
    <tableColumn id="3" xr3:uid="{B77969E8-C8BC-45F7-B61E-B14B882735CC}" name="Planning and Construction Year 1" dataDxfId="187"/>
    <tableColumn id="4" xr3:uid="{7FD2B241-C7B3-4DA5-87C0-FCD583DDC3E8}" name="Planning and Construction Year 2" dataDxfId="186"/>
    <tableColumn id="5" xr3:uid="{A443BCDB-1756-4589-A19F-311F9531F17C}" name="Operational Year 3"/>
    <tableColumn id="6" xr3:uid="{7EEFF7A3-C6E0-435D-8BD4-7FB5E5751566}" name="Operational Year 4"/>
    <tableColumn id="7" xr3:uid="{6CE0B358-CB6E-42EF-A78E-ADDD2D2728ED}" name="Operational Year 5"/>
    <tableColumn id="8" xr3:uid="{DFFAF9DF-42C2-4649-B9F1-68525C4C8E9A}" name="Operational Year 6"/>
    <tableColumn id="9" xr3:uid="{7D772F66-062A-446C-8D8C-BD7DEF4C65FF}" name="Operational Year 7"/>
    <tableColumn id="10" xr3:uid="{56BC27C6-8624-4DC4-8DEC-069178AA016D}" name="Operational Year 8"/>
    <tableColumn id="11" xr3:uid="{D9624F28-A3BB-48E8-B2C6-DFFDDD4DAB4A}" name="Operational Year 9"/>
    <tableColumn id="12" xr3:uid="{D1C0325E-1FFD-4895-9E68-EB3D8CA71290}" name="Operational Year 10"/>
    <tableColumn id="13" xr3:uid="{BCEB6C54-0B67-4844-9D42-69EB66E2D29E}" name="Operational Year 11"/>
    <tableColumn id="14" xr3:uid="{943CF8F0-1205-4918-95B3-98471934C039}" name="Operational Year 12"/>
  </tableColumns>
  <tableStyleInfo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52A79C-B6EE-44C5-B20F-B2434050EF1F}" name="Revenue_Sharing_Strategy" displayName="Revenue_Sharing_Strategy" ref="A76:N80" totalsRowShown="0" headerRowDxfId="185" dataDxfId="184" tableBorderDxfId="183">
  <autoFilter ref="A76:N80" xr:uid="{5552A79C-B6EE-44C5-B20F-B2434050E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067059C-ADA1-4C23-8012-F3631F8D0D3C}" name="Revenue Sharing Strategy"/>
    <tableColumn id="2" xr3:uid="{4F10171D-D983-4873-A35C-0002AC44E284}" name="Planning and Construction Year 0" dataDxfId="182"/>
    <tableColumn id="3" xr3:uid="{5CBDF8C5-F719-492F-AF3E-1327A357AC60}" name="Planning and Construction Year 1" dataDxfId="181"/>
    <tableColumn id="4" xr3:uid="{6DCAFC81-E908-4923-B458-7712B5723FD2}" name="Planning and Construction Year 2" dataDxfId="180"/>
    <tableColumn id="5" xr3:uid="{67967A2D-CA50-491F-9A40-FA32954135B2}" name="Operational Year 3" dataDxfId="179"/>
    <tableColumn id="6" xr3:uid="{2505C93A-E9AE-4F8A-9460-AF1EF4206317}" name="Operational Year 4" dataDxfId="178"/>
    <tableColumn id="7" xr3:uid="{D3891862-55C7-4E4E-8790-7229DF6F2A1E}" name="Operational Year 5" dataDxfId="177"/>
    <tableColumn id="8" xr3:uid="{6E95F833-F455-4C65-850A-BA4C92D9264C}" name="Operational Year 6" dataDxfId="176"/>
    <tableColumn id="9" xr3:uid="{8D37454A-C8D6-4DF0-A4DB-3C4002FA2568}" name="Operational Year 7" dataDxfId="175"/>
    <tableColumn id="10" xr3:uid="{67C3CB07-7D78-4F8E-BC0F-C99F5CB8ABBA}" name="Operational Year 8" dataDxfId="174"/>
    <tableColumn id="11" xr3:uid="{2EEE3AE9-E6BB-4591-9A58-2D215FE766A2}" name="Operational Year 9" dataDxfId="173"/>
    <tableColumn id="12" xr3:uid="{B3A223D0-BE9E-45E3-9B9F-15164F079857}" name="Operational Year 10" dataDxfId="172"/>
    <tableColumn id="13" xr3:uid="{E0057BCF-2359-4817-922F-F36BBC810E62}" name="Operational Year 11" dataDxfId="171"/>
    <tableColumn id="14" xr3:uid="{EBCA8533-1A93-4F37-ADEC-CF4D3014F062}" name="Operational Year 12" dataDxfId="170"/>
  </tableColumns>
  <tableStyleInfo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2CDA16D-547C-48B8-9792-9E6669B9DF38}" name="Agency_Returns_Output" displayName="Agency_Returns_Output" ref="A82:N83" totalsRowShown="0" headerRowDxfId="169" dataDxfId="168" tableBorderDxfId="167">
  <autoFilter ref="A82:N83" xr:uid="{52CDA16D-547C-48B8-9792-9E6669B9DF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2455BB8-43B6-40EC-AF9F-524B1D83F1B0}" name="Total Returns to Agency" dataDxfId="166"/>
    <tableColumn id="2" xr3:uid="{E310B986-5587-48ED-9320-722066684FA7}" name="Planning and Construction Year 0" dataDxfId="165"/>
    <tableColumn id="3" xr3:uid="{637262B6-68B9-4BA8-801B-6DC6C19A58BA}" name="Planning and Construction Year 1" dataDxfId="164"/>
    <tableColumn id="4" xr3:uid="{7E42B423-2772-44A1-BA5E-B9F0F5994A6E}" name="Planning and Construction Year 2" dataDxfId="163"/>
    <tableColumn id="5" xr3:uid="{F126C0B6-85FA-4A17-A2B6-BB2018088C01}" name="Operational Year 3" dataDxfId="162">
      <calculatedColumnFormula>E80+'Inputs - Time Series'!E55</calculatedColumnFormula>
    </tableColumn>
    <tableColumn id="6" xr3:uid="{7FF95326-C967-407F-B71A-045C4554038F}" name="Operational Year 4" dataDxfId="161">
      <calculatedColumnFormula>F80+'Inputs - Time Series'!F55</calculatedColumnFormula>
    </tableColumn>
    <tableColumn id="7" xr3:uid="{4A0E6756-E3C5-4E7C-A3A1-CA14901AB2B1}" name="Operational Year 5" dataDxfId="160">
      <calculatedColumnFormula>G80+'Inputs - Time Series'!G55</calculatedColumnFormula>
    </tableColumn>
    <tableColumn id="8" xr3:uid="{036DB625-CA56-4E5A-AA34-D19E1F5C6CD1}" name="Operational Year 6" dataDxfId="159">
      <calculatedColumnFormula>H80+'Inputs - Time Series'!H55</calculatedColumnFormula>
    </tableColumn>
    <tableColumn id="9" xr3:uid="{CF5F3AB9-FB93-4714-86F7-BFC0B54C7825}" name="Operational Year 7" dataDxfId="158">
      <calculatedColumnFormula>I80+'Inputs - Time Series'!I55</calculatedColumnFormula>
    </tableColumn>
    <tableColumn id="10" xr3:uid="{0DA27DA9-2178-44C6-BA5B-8F81CC72F24B}" name="Operational Year 8" dataDxfId="157">
      <calculatedColumnFormula>J80+'Inputs - Time Series'!J55</calculatedColumnFormula>
    </tableColumn>
    <tableColumn id="11" xr3:uid="{37237840-CEF2-4DA0-8AF8-0EFBFBDB35B7}" name="Operational Year 9" dataDxfId="156">
      <calculatedColumnFormula>K80+'Inputs - Time Series'!K55</calculatedColumnFormula>
    </tableColumn>
    <tableColumn id="12" xr3:uid="{3A2CD6AB-DBC3-4AE3-8BC6-AEB339ACDD54}" name="Operational Year 10" dataDxfId="155">
      <calculatedColumnFormula>L80+'Inputs - Time Series'!L55</calculatedColumnFormula>
    </tableColumn>
    <tableColumn id="13" xr3:uid="{2A063890-7D9A-454A-B661-AC9EFFDA8495}" name="Operational Year 11" dataDxfId="154">
      <calculatedColumnFormula>M80+'Inputs - Time Series'!M55</calculatedColumnFormula>
    </tableColumn>
    <tableColumn id="14" xr3:uid="{577A19A3-7FF0-4630-9F49-4CE02823C220}" name="Operational Year 12" dataDxfId="153">
      <calculatedColumnFormula>N80+'Inputs - Time Series'!N55</calculatedColumnFormula>
    </tableColumn>
  </tableColumns>
  <tableStyleInfo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EC9B7050-5F23-46D7-990E-78E97E277600}" name="Performance_P3_DCF" displayName="Performance_P3_DCF" ref="A9:N17" totalsRowShown="0" headerRowDxfId="152" tableBorderDxfId="151">
  <autoFilter ref="A9:N17" xr:uid="{EC9B7050-5F23-46D7-990E-78E97E2776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AB1F529-1578-4EC3-A96A-7C2907F9732E}" name="DCF Table - Performance Based P3"/>
    <tableColumn id="2" xr3:uid="{75E7B155-ED51-486D-ABE8-08C5F5E6B55D}" name="Planning and Construction Year 0"/>
    <tableColumn id="3" xr3:uid="{66EF81BC-D6F4-4458-9A4E-761233A254DE}" name="Planning and Construction Year 1"/>
    <tableColumn id="4" xr3:uid="{CD00F4AC-E99F-4CE5-B63D-F81C22EA4875}" name="Planning and Construction Year 2"/>
    <tableColumn id="5" xr3:uid="{0C8C9837-0ED0-406A-AC8B-4364FFC6A585}" name="Operational Year 3"/>
    <tableColumn id="6" xr3:uid="{02660E62-C46F-45DF-A279-BE5F6A5AE4FA}" name="Operational Year 4"/>
    <tableColumn id="7" xr3:uid="{26037296-8CFE-4105-9802-45330B089DA3}" name="Operational Year 5"/>
    <tableColumn id="8" xr3:uid="{FFF6ADAB-DEDD-4E87-A4DC-0E1F37B63500}" name="Operational Year 6"/>
    <tableColumn id="9" xr3:uid="{D2424F22-2455-4707-B00F-7C1AD0A30DC4}" name="Operational Year 7"/>
    <tableColumn id="10" xr3:uid="{B8911AE5-0040-42D8-B40A-B86B85DB8E4B}" name="Operational Year 8"/>
    <tableColumn id="11" xr3:uid="{DF4FA3F6-3AD9-47E5-B7C7-8B0D3855B274}" name="Operational Year 9"/>
    <tableColumn id="12" xr3:uid="{397125AB-E0CC-4369-840E-A3481FAE7EA8}" name="Operational Year 10"/>
    <tableColumn id="13" xr3:uid="{16D8A22D-3EA8-4251-9B5A-3D8F37C5CFDB}" name="Operational Year 11"/>
    <tableColumn id="14" xr3:uid="{6B20106C-79DF-4A4B-A917-9F3F4EE33096}" name="Operational Year 12"/>
  </tableColumns>
  <tableStyleInfo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BE4BE74-389F-46F8-B276-183C8CBEAE88}" name="Performance_P3_Financial_Indicators" displayName="Performance_P3_Financial_Indicators" ref="A19:B22" totalsRowShown="0" headerRowDxfId="150" tableBorderDxfId="149" headerRowCellStyle="Heading 6">
  <autoFilter ref="A19:B22" xr:uid="{6BE4BE74-389F-46F8-B276-183C8CBEAE88}">
    <filterColumn colId="0" hiddenButton="1"/>
    <filterColumn colId="1" hiddenButton="1"/>
  </autoFilter>
  <tableColumns count="2">
    <tableColumn id="1" xr3:uid="{34A52B68-28DC-4A72-9461-7DD6AF3F6846}" name="Financial Performance Indicators" dataDxfId="148"/>
    <tableColumn id="2" xr3:uid="{E6440AAB-4583-4C34-A3D9-8DC658B91C50}" name="Values"/>
  </tableColumns>
  <tableStyleInfo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DE07EC7-6CE5-424F-BC2D-0EF8ED79DD47}" name="Grant_DCF" displayName="Grant_DCF" ref="A26:N33" totalsRowShown="0" headerRowDxfId="147" tableBorderDxfId="146">
  <autoFilter ref="A26:N33" xr:uid="{5DE07EC7-6CE5-424F-BC2D-0EF8ED79DD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AFADA26-F93E-48B9-87C9-3EC130C9C260}" name="DCF Table - Grant Based P3" dataDxfId="145"/>
    <tableColumn id="2" xr3:uid="{D681F481-94C1-4CF5-8539-FD8B64483730}" name="Planning and Construction Year 0"/>
    <tableColumn id="3" xr3:uid="{C4CC43AE-E964-4A69-9807-A11053FFA6E6}" name="Planning and Construction Year 1"/>
    <tableColumn id="4" xr3:uid="{6A62845F-71F1-4D2D-A53B-DA642113843B}" name="Planning and Construction Year 2"/>
    <tableColumn id="5" xr3:uid="{C6F81069-9AF1-4048-BD83-E4E789FA4EC3}" name="Operational Year 3"/>
    <tableColumn id="6" xr3:uid="{B6A908B6-C5E3-4F68-BEFF-08418CD53503}" name="Operational Year 4"/>
    <tableColumn id="7" xr3:uid="{925E2F27-9282-4D3D-A167-52EA5950505E}" name="Operational Year 5"/>
    <tableColumn id="8" xr3:uid="{29CAD806-6248-4A99-970C-F1B8B3473E07}" name="Operational Year 6"/>
    <tableColumn id="9" xr3:uid="{C2AA7DCB-98F5-4BCE-9D2F-16826669A630}" name="Operational Year 7"/>
    <tableColumn id="10" xr3:uid="{518C5AC3-DEB4-44DA-9758-F122D0787906}" name="Operational Year 8"/>
    <tableColumn id="11" xr3:uid="{B5E2BE4E-2BF8-4936-8A7A-8F5A691F822E}" name="Operational Year 9"/>
    <tableColumn id="12" xr3:uid="{7ED1BCDA-77B4-43D3-B62F-F6A3B64566F0}" name="Operational Year 10"/>
    <tableColumn id="13" xr3:uid="{0094BCA3-4BD7-4E97-8867-1F80CA85C41F}" name="Operational Year 11"/>
    <tableColumn id="14" xr3:uid="{BC024F1E-20B9-4E99-B361-774962DF158E}" name="Operational Year 12"/>
  </tableColumns>
  <tableStyleInfo showFirstColumn="1"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72E4CE1-9495-4970-AAE1-27501124EF94}" name="Grant_Financial_Indicators" displayName="Grant_Financial_Indicators" ref="A35:B39" totalsRowShown="0" headerRowDxfId="144" tableBorderDxfId="143" headerRowCellStyle="Heading 6">
  <autoFilter ref="A35:B39" xr:uid="{B72E4CE1-9495-4970-AAE1-27501124EF94}">
    <filterColumn colId="0" hiddenButton="1"/>
    <filterColumn colId="1" hiddenButton="1"/>
  </autoFilter>
  <tableColumns count="2">
    <tableColumn id="1" xr3:uid="{70C452F1-55C3-42BA-8925-3445E31DE0D6}" name="Financial Performance Indicators" dataDxfId="142"/>
    <tableColumn id="2" xr3:uid="{DF7CD206-B735-40C4-A8CE-B5DA08E76E4D}" name="Values"/>
  </tableColumns>
  <tableStyleInfo showFirstColumn="1"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53DBB99-3BB9-4D67-87C8-7DA99B5D8524}" name="Grant_Subsidy_Adjustment" displayName="Grant_Subsidy_Adjustment" ref="A41:B44" totalsRowShown="0" tableBorderDxfId="141">
  <autoFilter ref="A41:B44" xr:uid="{B53DBB99-3BB9-4D67-87C8-7DA99B5D8524}">
    <filterColumn colId="0" hiddenButton="1"/>
    <filterColumn colId="1" hiddenButton="1"/>
  </autoFilter>
  <tableColumns count="2">
    <tableColumn id="1" xr3:uid="{FC72680B-E9F4-4ADF-AB53-70247F1894B8}" name="Financial Performance Indicators - Post Subsidy Adjustment"/>
    <tableColumn id="2" xr3:uid="{B90C2E0F-76A2-4416-B196-61574D83A4A5}" name="Values"/>
  </tableColumns>
  <tableStyleInfo showFirstColumn="1"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1AF40C1-4C5F-439B-81BF-EC739D716668}" name="Grant_FCF_Table_Post_Adjustment" displayName="Grant_FCF_Table_Post_Adjustment" ref="A47:N50" totalsRowShown="0" headerRowDxfId="140" dataDxfId="139" tableBorderDxfId="138">
  <autoFilter ref="A47:N50" xr:uid="{51AF40C1-4C5F-439B-81BF-EC739D7166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D46DDC5-9F0D-4147-B3CD-3A96AB528609}" name="Free Cash Flows After Subsidy Adjustment"/>
    <tableColumn id="2" xr3:uid="{977DC0FB-670E-44DB-B5D8-C147BDD43CA8}" name="Planning and Construction Year 0" dataDxfId="137"/>
    <tableColumn id="3" xr3:uid="{EE6AD320-FE98-4632-B869-A36CBF7BF4C9}" name="Planning and Construction Year 1" dataDxfId="136"/>
    <tableColumn id="4" xr3:uid="{18A9B08E-EED5-431D-A369-3C11B7B6495C}" name="Planning and Construction Year 2" dataDxfId="135"/>
    <tableColumn id="5" xr3:uid="{47D72967-BA10-4D39-BC61-01A5A2392A1E}" name="Operational Year 3" dataDxfId="134"/>
    <tableColumn id="6" xr3:uid="{88724AFB-38B3-4149-8B7D-0BECA99F5BC7}" name="Operational Year 4" dataDxfId="133"/>
    <tableColumn id="7" xr3:uid="{5363E160-9617-4760-93AA-7DF78CE2E52E}" name="Operational Year 5" dataDxfId="132"/>
    <tableColumn id="8" xr3:uid="{60095BED-A829-4291-B2CA-2BCC499BA002}" name="Operational Year 6 " dataDxfId="131"/>
    <tableColumn id="9" xr3:uid="{877A3B59-B6AD-49D7-A7D9-8F8C731591B8}" name="Operational Year 7" dataDxfId="130"/>
    <tableColumn id="10" xr3:uid="{341E61F4-A752-4B07-A1EB-CE3303097280}" name="Operational Year 8" dataDxfId="129"/>
    <tableColumn id="11" xr3:uid="{F93B56D1-2897-4855-BA7D-558F3778FC0F}" name="Operational Year 9" dataDxfId="128"/>
    <tableColumn id="12" xr3:uid="{C1313E88-537E-4132-AEE3-7A24146B28E0}" name="Operational Year 10" dataDxfId="127"/>
    <tableColumn id="13" xr3:uid="{70A72A6D-45F9-4E8D-85E8-D2337F7A7E3F}" name="Operational Year 11" dataDxfId="126"/>
    <tableColumn id="14" xr3:uid="{C24AC229-0E15-4C54-A2AF-34DEA72A2BCD}" name="Operational Year 12" dataDxfId="125"/>
  </tableColumns>
  <tableStyleInfo showFirstColumn="1"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467C118-20FA-4056-A409-5EB18494A204}" name="MRG_P3_DCF" displayName="MRG_P3_DCF" ref="A54:N62" totalsRowShown="0" headerRowDxfId="124" tableBorderDxfId="123">
  <autoFilter ref="A54:N62" xr:uid="{F467C118-20FA-4056-A409-5EB18494A2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F8FACAD-12FF-49D4-8850-C9EDF55B761C}" name="DCF Table - Minimum Revenue Guarantee"/>
    <tableColumn id="2" xr3:uid="{16DAA1D6-C1C1-4991-A11C-CB3E7E8131F6}" name="Planning and Construction Year 0"/>
    <tableColumn id="3" xr3:uid="{5594DACA-6C28-4330-8DF2-61E9BAA827DF}" name="Planning and Construction Year 1"/>
    <tableColumn id="4" xr3:uid="{575530BB-1C4A-466C-AF08-AE0FC239FEDE}" name="Planning and Construction Year 2"/>
    <tableColumn id="5" xr3:uid="{0E1442FF-E21E-407F-8CF4-EB0C387F00B7}" name="Operational Year 3"/>
    <tableColumn id="6" xr3:uid="{7E76DE98-3914-49FA-8D5F-4A8A8784A13D}" name="Operational Year 4"/>
    <tableColumn id="7" xr3:uid="{34D7A91C-B632-40D4-82BE-D0594933F613}" name="Operational Year 5"/>
    <tableColumn id="8" xr3:uid="{0ED36016-4255-413E-A384-2E0B1831A309}" name="Operational Year 6 "/>
    <tableColumn id="9" xr3:uid="{05DDEA7A-FDB4-46F8-B7AF-60BDEA263B84}" name="Operational Year 7"/>
    <tableColumn id="10" xr3:uid="{E5F536E6-62FF-4CAA-BB79-26070A69C1E4}" name="Operational Year 8"/>
    <tableColumn id="11" xr3:uid="{E6A746F9-E31F-4CE5-8084-91EF79C08523}" name="Operational Year 9"/>
    <tableColumn id="12" xr3:uid="{2A139584-0F56-4E18-A451-CB65D3CE60A2}" name="Operational Year 10"/>
    <tableColumn id="13" xr3:uid="{0F92A8DB-3247-415B-84EE-65374E53AB9A}" name="Operational Year 11"/>
    <tableColumn id="14" xr3:uid="{033E0C93-B76A-480D-9264-FCC580D4F949}" name="Operational Year 12"/>
  </tableColumns>
  <tableStyleInfo showFirstColumn="1"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FA1CF16-9445-4C00-AD83-AC745069C276}" name="MRG_Financial_Indicators" displayName="MRG_Financial_Indicators" ref="A64:B68" totalsRowShown="0" tableBorderDxfId="122">
  <autoFilter ref="A64:B68" xr:uid="{7FA1CF16-9445-4C00-AD83-AC745069C276}">
    <filterColumn colId="0" hiddenButton="1"/>
    <filterColumn colId="1" hiddenButton="1"/>
  </autoFilter>
  <tableColumns count="2">
    <tableColumn id="1" xr3:uid="{2A054261-2DCD-4544-BE5E-4370CF5A115F}" name="Financial Performance Indicators" dataDxfId="121"/>
    <tableColumn id="2" xr3:uid="{A9EAB635-D9E7-4C2A-A45E-61F72352EFB8}" name="Values"/>
  </tableColumns>
  <tableStyleInfo showFirstColumn="1"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82506BC-4D50-4A3D-A959-2958D4D297D0}" name="MRG_Subsidy_Adjustment" displayName="MRG_Subsidy_Adjustment" ref="A70:B73" totalsRowShown="0" tableBorderDxfId="120">
  <autoFilter ref="A70:B73" xr:uid="{182506BC-4D50-4A3D-A959-2958D4D297D0}">
    <filterColumn colId="0" hiddenButton="1"/>
    <filterColumn colId="1" hiddenButton="1"/>
  </autoFilter>
  <tableColumns count="2">
    <tableColumn id="1" xr3:uid="{1D357A4D-5CFB-4D14-96BE-8BF4AF23446B}" name="Financial Performance Indicators - Post Subsidy Adjustment"/>
    <tableColumn id="2" xr3:uid="{1E9E1C19-D404-4A63-A9A5-2F35410F8619}" name="Values"/>
  </tableColumns>
  <tableStyleInfo showFirstColumn="1"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FA8C03A-2B42-4C9F-8895-24A2D9BB5F82}" name="MRG_FCF_Post_Adjustment" displayName="MRG_FCF_Post_Adjustment" ref="A75:N76" totalsRowShown="0" headerRowDxfId="119" dataDxfId="118" tableBorderDxfId="117">
  <autoFilter ref="A75:N76" xr:uid="{5FA8C03A-2B42-4C9F-8895-24A2D9BB5F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CC9A016-9EAE-4EEE-8A63-48F4EBD871C1}" name="Free Cash Flows After Subsidy Adjustment" dataDxfId="116"/>
    <tableColumn id="2" xr3:uid="{37CFA341-0441-4C5E-B338-C71E798737B0}" name="Planning and Construction Year 0" dataDxfId="115">
      <calculatedColumnFormula>IF('Inputs - Constant'!A36&lt;&gt;'Inputs - Constant'!A32,B59,B59+B71)</calculatedColumnFormula>
    </tableColumn>
    <tableColumn id="3" xr3:uid="{B6913227-DE4A-4141-8155-BBED32C65D82}" name="Planning and Construction Year 1" dataDxfId="114">
      <calculatedColumnFormula>C59</calculatedColumnFormula>
    </tableColumn>
    <tableColumn id="4" xr3:uid="{24E29AFF-74B7-4B4D-AFC2-6E8D219FD04D}" name="Planning and Construction Year 2" dataDxfId="113">
      <calculatedColumnFormula>D59</calculatedColumnFormula>
    </tableColumn>
    <tableColumn id="5" xr3:uid="{DCA43FEF-BD5C-434A-9494-D63B2AD06998}" name="Operational Year 3" dataDxfId="112">
      <calculatedColumnFormula>E59</calculatedColumnFormula>
    </tableColumn>
    <tableColumn id="6" xr3:uid="{763E960F-748D-4402-A3A0-7F745A79BCFF}" name="Operational Year 4" dataDxfId="111">
      <calculatedColumnFormula>F59</calculatedColumnFormula>
    </tableColumn>
    <tableColumn id="7" xr3:uid="{CB1DE5AD-603C-4D5C-AB39-243464CA20A8}" name="Operational Year 5" dataDxfId="110">
      <calculatedColumnFormula>G59</calculatedColumnFormula>
    </tableColumn>
    <tableColumn id="8" xr3:uid="{8F92F9BF-EEC3-4782-83EB-5C8ED36D627D}" name="Operational Year 6 " dataDxfId="109">
      <calculatedColumnFormula>H59</calculatedColumnFormula>
    </tableColumn>
    <tableColumn id="9" xr3:uid="{1EDC66CF-F0C4-4752-A0F7-CD20C3F898A3}" name="Operational Year 7" dataDxfId="108">
      <calculatedColumnFormula>I59</calculatedColumnFormula>
    </tableColumn>
    <tableColumn id="10" xr3:uid="{F08FAF95-7C6B-4FAC-8591-2F449B9DA849}" name="Operational Year 8" dataDxfId="107">
      <calculatedColumnFormula>J59</calculatedColumnFormula>
    </tableColumn>
    <tableColumn id="11" xr3:uid="{FE8E91D5-5F35-475F-B971-4E10D9D204D2}" name="Operational Year 9" dataDxfId="106">
      <calculatedColumnFormula>K59</calculatedColumnFormula>
    </tableColumn>
    <tableColumn id="12" xr3:uid="{4CB3AE56-A4DD-4465-86C5-6D69EABBB002}" name="Operational Year 10" dataDxfId="105">
      <calculatedColumnFormula>L59</calculatedColumnFormula>
    </tableColumn>
    <tableColumn id="13" xr3:uid="{603D15A4-6FD2-4E2F-AC88-11F8DA5A7BC4}" name="Operational Year 11" dataDxfId="104">
      <calculatedColumnFormula>M59</calculatedColumnFormula>
    </tableColumn>
    <tableColumn id="14" xr3:uid="{4A812F6D-23E1-4F8A-BB75-601412077162}" name="Operational Year 12" dataDxfId="103">
      <calculatedColumnFormula>N59</calculatedColumnFormula>
    </tableColumn>
  </tableColumns>
  <tableStyleInfo showFirstColumn="1"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350AC49-15F8-43F0-913D-DBCDADAF8668}" name="Key_Project_Data" displayName="Key_Project_Data" ref="A10:N13" totalsRowShown="0" headerRowDxfId="102" dataDxfId="101" tableBorderDxfId="100">
  <autoFilter ref="A10:N13" xr:uid="{3350AC49-15F8-43F0-913D-DBCDADAF86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BCDC550-0A5A-445B-8781-ABECA87017A0}" name="Key Project Data" dataDxfId="99"/>
    <tableColumn id="2" xr3:uid="{FA01C120-0B21-4DFF-B4EF-E694298E33ED}" name="Planning and Construction Year 0"/>
    <tableColumn id="3" xr3:uid="{ECE78B31-1263-4CF2-B3FC-D24FADEDA610}" name="Planning and Construction Year 1"/>
    <tableColumn id="4" xr3:uid="{AD4A0912-23DD-496E-B13C-63FD8B6C2EFE}" name="Planning and Construction Year 2"/>
    <tableColumn id="5" xr3:uid="{A210072F-14E1-49A5-82CC-4700DC57ECEF}" name="Operational Year 3" dataDxfId="98"/>
    <tableColumn id="6" xr3:uid="{3C94F59B-6A88-4B0A-9AEF-7FA0A03F7572}" name="Operational Year 4" dataDxfId="97"/>
    <tableColumn id="7" xr3:uid="{33DB932F-464A-482B-9C24-686D3181724A}" name="Operational Year 5" dataDxfId="96"/>
    <tableColumn id="8" xr3:uid="{054CCAF8-F66E-4A30-B7FD-6B36D8BE412E}" name="Operational Year 6" dataDxfId="95"/>
    <tableColumn id="9" xr3:uid="{8ED32517-8FC1-4018-8421-C9B104F1D481}" name="Operational Year 7" dataDxfId="94"/>
    <tableColumn id="10" xr3:uid="{FCF4E362-4208-4937-B76C-59FE1E41284A}" name="Operational Year 8" dataDxfId="93"/>
    <tableColumn id="11" xr3:uid="{A72FE640-E190-446F-BBF6-3B855A5F78BD}" name="Operational Year 9" dataDxfId="92"/>
    <tableColumn id="12" xr3:uid="{87C3057F-D356-41C9-9DA8-E54EC7E49B1C}" name="Operational Year 10" dataDxfId="91"/>
    <tableColumn id="13" xr3:uid="{CF8E94A4-97F3-48DF-A1E6-C131D73CDC32}" name="Operational Year 11" dataDxfId="90"/>
    <tableColumn id="14" xr3:uid="{0EBD3689-6121-4F67-9B1B-60C714C5AD72}" name="Operational Year 12" dataDxfId="89"/>
  </tableColumns>
  <tableStyleInfo showFirstColumn="1"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44D5FD25-0988-4C10-B854-4CCA06A30ADE}" name="Key_Data_NPV" displayName="Key_Data_NPV" ref="A15:B18" totalsRowShown="0" headerRowDxfId="88" tableBorderDxfId="87" headerRowCellStyle="Heading 6">
  <autoFilter ref="A15:B18" xr:uid="{44D5FD25-0988-4C10-B854-4CCA06A30ADE}">
    <filterColumn colId="0" hiddenButton="1"/>
    <filterColumn colId="1" hiddenButton="1"/>
  </autoFilter>
  <tableColumns count="2">
    <tableColumn id="1" xr3:uid="{89950617-19D3-4380-8F97-9A531D58746B}" name="Net Present Values of Key Data"/>
    <tableColumn id="2" xr3:uid="{3ECB09D0-A6D4-4F01-9D46-B4ACF0436BF8}" name="Values"/>
  </tableColumns>
  <tableStyleInfo showFirstColumn="1"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0C39C9E-E6A3-43DE-A187-6CFC08D539A5}" name="Performance_P3_Key_Data" displayName="Performance_P3_Key_Data" ref="A20:N23" totalsRowShown="0" headerRowDxfId="86" dataDxfId="85" tableBorderDxfId="84">
  <autoFilter ref="A20:N23" xr:uid="{E0C39C9E-E6A3-43DE-A187-6CFC08D539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002493A-112C-4481-BDA3-3F73DA9F7B5B}" name="Performance Based P3" dataDxfId="83"/>
    <tableColumn id="2" xr3:uid="{07BEB363-7E57-46FB-8C5F-1ACB1B47D62B}" name="Planning and Construction Year 0" dataDxfId="82"/>
    <tableColumn id="3" xr3:uid="{18563E09-6C78-4830-90C6-9434D91B66CD}" name="Planning and Construction Year 1" dataDxfId="81"/>
    <tableColumn id="4" xr3:uid="{BFC84ED7-B186-453B-BB83-A29142E6101D}" name="Planning and Construction Year 2" dataDxfId="80"/>
    <tableColumn id="5" xr3:uid="{DF0EC458-87B4-4630-90B9-BFFBD0718F87}" name="Operational Year 3" dataDxfId="79"/>
    <tableColumn id="6" xr3:uid="{E1B15F12-736F-4EC0-B980-194194355831}" name="Operational Year 4" dataDxfId="78"/>
    <tableColumn id="7" xr3:uid="{579854C6-1980-4E28-803E-CB204C6EB2BD}" name="Operational Year 5" dataDxfId="77"/>
    <tableColumn id="8" xr3:uid="{00B09223-B090-4E1C-B25A-23FD607A0052}" name="Operational Year 6" dataDxfId="76"/>
    <tableColumn id="9" xr3:uid="{FBC33E6F-9F15-44AA-A54E-67EC6F7ED3B7}" name="Operational Year 7" dataDxfId="75"/>
    <tableColumn id="10" xr3:uid="{53AEC794-CE16-43E7-8BCA-CE897D2BF323}" name="Operational Year 8" dataDxfId="74"/>
    <tableColumn id="11" xr3:uid="{B1662820-F264-45DF-B361-CC1516FE667C}" name="Operational Year 9" dataDxfId="73"/>
    <tableColumn id="12" xr3:uid="{1E1085C9-C128-4689-96C2-7988CB810FB7}" name="Operational Year 10" dataDxfId="72"/>
    <tableColumn id="13" xr3:uid="{8083C9C1-0CEB-4821-A946-F2B8CD786C07}" name="Operational Year 11" dataDxfId="71"/>
    <tableColumn id="14" xr3:uid="{6BB5AA10-C2A0-48B7-95CE-649A8C173D96}" name="Operational Year 12" dataDxfId="70"/>
  </tableColumns>
  <tableStyleInfo showFirstColumn="1"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D9BB60A-14EA-4887-A75F-24D9EFD09D6C}" name="Performance_P3_Key_Data_NPV" displayName="Performance_P3_Key_Data_NPV" ref="A25:B30" totalsRowShown="0" tableBorderDxfId="69">
  <autoFilter ref="A25:B30" xr:uid="{5D9BB60A-14EA-4887-A75F-24D9EFD09D6C}">
    <filterColumn colId="0" hiddenButton="1"/>
    <filterColumn colId="1" hiddenButton="1"/>
  </autoFilter>
  <tableColumns count="2">
    <tableColumn id="1" xr3:uid="{91BFB75B-17CD-4870-973F-7548FF60780C}" name="Net Present Values of Key Data" dataDxfId="68"/>
    <tableColumn id="2" xr3:uid="{D05D3E12-FBD3-4D2E-B7E1-6416B778E6A8}" name="Values"/>
  </tableColumns>
  <tableStyleInfo showFirstColumn="1"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B82D31E-B4A7-4D44-A793-9F29B3E00378}" name="Grant_Key_Data" displayName="Grant_Key_Data" ref="A32:N33" totalsRowShown="0" headerRowDxfId="67" dataDxfId="66" tableBorderDxfId="65">
  <autoFilter ref="A32:N33" xr:uid="{AB82D31E-B4A7-4D44-A793-9F29B3E003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2F73E40-E57E-4EFB-9721-01F0AEDB33F4}" name="Grant Based P3" dataDxfId="64"/>
    <tableColumn id="2" xr3:uid="{CDC9B2AE-5093-4E22-A011-53AB7FDF6938}" name="Planning and Construction Year 0" dataDxfId="63">
      <calculatedColumnFormula>Outputs!B42</calculatedColumnFormula>
    </tableColumn>
    <tableColumn id="3" xr3:uid="{96BC6696-1307-47D1-9979-BE1D41689715}" name="Planning and Construction Year 1" dataDxfId="62">
      <calculatedColumnFormula>DCF!C29-'Outcomes Dashboard'!C12</calculatedColumnFormula>
    </tableColumn>
    <tableColumn id="4" xr3:uid="{7A4904AE-A85E-4AA3-BEAC-FCA817EE8A55}" name="Planning and Construction Year 2" dataDxfId="61">
      <calculatedColumnFormula>DCF!D29-'Outcomes Dashboard'!D12</calculatedColumnFormula>
    </tableColumn>
    <tableColumn id="5" xr3:uid="{CBD24BE3-7F09-4064-9B51-8EE5C342C0DF}" name="Operational Year 3" dataDxfId="60">
      <calculatedColumnFormula>DCF!E29-'Outcomes Dashboard'!E12</calculatedColumnFormula>
    </tableColumn>
    <tableColumn id="6" xr3:uid="{50DEDB42-5170-4588-8AEB-BAA30AC2C924}" name="Operational Year 4" dataDxfId="59">
      <calculatedColumnFormula>DCF!F29-'Outcomes Dashboard'!F12</calculatedColumnFormula>
    </tableColumn>
    <tableColumn id="7" xr3:uid="{DDF5B2C1-DECE-4E53-BB83-A1B3BDA1E280}" name="Operational Year 5" dataDxfId="58">
      <calculatedColumnFormula>DCF!G29-'Outcomes Dashboard'!G12</calculatedColumnFormula>
    </tableColumn>
    <tableColumn id="8" xr3:uid="{4D3DFAFA-40B0-4591-BBCA-CB5C52B201BA}" name="Operational Year 6" dataDxfId="57">
      <calculatedColumnFormula>DCF!H29-'Outcomes Dashboard'!H12</calculatedColumnFormula>
    </tableColumn>
    <tableColumn id="9" xr3:uid="{97E1E825-38A9-49E2-B96C-0E2A7BA09837}" name="Operational Year 7" dataDxfId="56">
      <calculatedColumnFormula>DCF!I29-'Outcomes Dashboard'!I12</calculatedColumnFormula>
    </tableColumn>
    <tableColumn id="10" xr3:uid="{04BAA72D-8847-4B09-940E-CD861B9D0512}" name="Operational Year 8" dataDxfId="55">
      <calculatedColumnFormula>DCF!J29-'Outcomes Dashboard'!J12</calculatedColumnFormula>
    </tableColumn>
    <tableColumn id="11" xr3:uid="{DA36024E-4E38-44FB-A8A2-D39F26F0720B}" name="Operational Year 9" dataDxfId="54">
      <calculatedColumnFormula>DCF!K29-'Outcomes Dashboard'!K12</calculatedColumnFormula>
    </tableColumn>
    <tableColumn id="12" xr3:uid="{06188659-7675-42F1-9A21-465BEB99EC03}" name="Operational Year 10" dataDxfId="53">
      <calculatedColumnFormula>DCF!L29-'Outcomes Dashboard'!L12</calculatedColumnFormula>
    </tableColumn>
    <tableColumn id="13" xr3:uid="{574C1B52-D494-46FC-AB4B-534106098284}" name="Operational Year 11" dataDxfId="52">
      <calculatedColumnFormula>DCF!M29-'Outcomes Dashboard'!M12</calculatedColumnFormula>
    </tableColumn>
    <tableColumn id="14" xr3:uid="{1997775A-8AEB-41CB-869B-CEDB6457F5E5}" name="Operational Year 12" dataDxfId="51">
      <calculatedColumnFormula>DCF!N29-'Outcomes Dashboard'!N12</calculatedColumnFormula>
    </tableColumn>
  </tableColumns>
  <tableStyleInfo showFirstColumn="1"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829AF5F-4E6C-4EB4-A5E9-D53E7C767689}" name="Grant_Key_Data_NPV" displayName="Grant_Key_Data_NPV" ref="A35:B41" totalsRowShown="0" headerRowDxfId="50" tableBorderDxfId="49" headerRowCellStyle="Heading 6">
  <autoFilter ref="A35:B41" xr:uid="{8829AF5F-4E6C-4EB4-A5E9-D53E7C767689}">
    <filterColumn colId="0" hiddenButton="1"/>
    <filterColumn colId="1" hiddenButton="1"/>
  </autoFilter>
  <tableColumns count="2">
    <tableColumn id="1" xr3:uid="{6173829B-92EA-40BC-8DED-9B94B228529F}" name="Net Present Values of Key Data" dataDxfId="48"/>
    <tableColumn id="2" xr3:uid="{34723982-7E6B-45BC-A64C-F55EF002F7BE}" name="Values"/>
  </tableColumns>
  <tableStyleInfo showFirstColumn="1"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35D8435-DEEE-4C96-B61C-5A8774AEC1D0}" name="MRG_Key_Data" displayName="MRG_Key_Data" ref="A43:N44" totalsRowShown="0" headerRowDxfId="47" dataDxfId="46" tableBorderDxfId="45">
  <autoFilter ref="A43:N44" xr:uid="{735D8435-DEEE-4C96-B61C-5A8774AEC1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30AA9C3-FBFB-4C49-9896-B38F7C44163E}" name="Minimum Revenue Guarantee (MRG)" dataDxfId="44"/>
    <tableColumn id="2" xr3:uid="{3329498A-D8EC-4F16-AFD2-911C3F07DDD4}" name="Planning and Construction Year 0" dataDxfId="43">
      <calculatedColumnFormula>DCF!B58-'Outcomes Dashboard'!B12</calculatedColumnFormula>
    </tableColumn>
    <tableColumn id="3" xr3:uid="{E5D12CDA-5953-40D6-B609-51E619DED534}" name="Planning and Construction Year 1">
      <calculatedColumnFormula>DCF!C58-'Outcomes Dashboard'!C12</calculatedColumnFormula>
    </tableColumn>
    <tableColumn id="4" xr3:uid="{78652650-BB49-42F1-83B7-553B8248BA4B}" name="Planning and Construction Year 2">
      <calculatedColumnFormula>DCF!D58-'Outcomes Dashboard'!D12</calculatedColumnFormula>
    </tableColumn>
    <tableColumn id="5" xr3:uid="{035C8E87-0559-4D45-8243-97B0FB532B19}" name="Operational Year 3" dataDxfId="42">
      <calculatedColumnFormula>DCF!E58-'Outcomes Dashboard'!E12</calculatedColumnFormula>
    </tableColumn>
    <tableColumn id="6" xr3:uid="{0B75CB46-8FAE-4D2E-B940-08C6D3B98429}" name="Operational Year 4" dataDxfId="41">
      <calculatedColumnFormula>DCF!F58-'Outcomes Dashboard'!F12</calculatedColumnFormula>
    </tableColumn>
    <tableColumn id="7" xr3:uid="{BCDDA4F1-24B0-44FE-A78C-369E81CF78F0}" name="Operational Year 5" dataDxfId="40">
      <calculatedColumnFormula>DCF!G58-'Outcomes Dashboard'!G12</calculatedColumnFormula>
    </tableColumn>
    <tableColumn id="8" xr3:uid="{B846A90E-7E1C-4951-A423-1D27497160DF}" name="Operational Year 6" dataDxfId="39">
      <calculatedColumnFormula>DCF!H58-'Outcomes Dashboard'!H12</calculatedColumnFormula>
    </tableColumn>
    <tableColumn id="9" xr3:uid="{3E039F4B-F9AC-4880-85ED-9B8811A704B8}" name="Operational Year 7" dataDxfId="38">
      <calculatedColumnFormula>DCF!I58-'Outcomes Dashboard'!I12</calculatedColumnFormula>
    </tableColumn>
    <tableColumn id="10" xr3:uid="{F0243896-B11B-440D-8686-C2FE2ADD3A15}" name="Operational Year 8" dataDxfId="37">
      <calculatedColumnFormula>DCF!J58-'Outcomes Dashboard'!J12</calculatedColumnFormula>
    </tableColumn>
    <tableColumn id="11" xr3:uid="{F2C043B1-9085-4A11-B953-CA832D00AB8D}" name="Operational Year 9" dataDxfId="36">
      <calculatedColumnFormula>DCF!K58-'Outcomes Dashboard'!K12</calculatedColumnFormula>
    </tableColumn>
    <tableColumn id="12" xr3:uid="{DB11C2B3-9680-4310-8F0B-E0FF4429C758}" name="Operational Year 10" dataDxfId="35">
      <calculatedColumnFormula>DCF!L58-'Outcomes Dashboard'!L12</calculatedColumnFormula>
    </tableColumn>
    <tableColumn id="13" xr3:uid="{58035BBB-DDD9-4666-98CB-A99F31B5C8C0}" name="Operational Year 11" dataDxfId="34">
      <calculatedColumnFormula>DCF!M58-'Outcomes Dashboard'!M12</calculatedColumnFormula>
    </tableColumn>
    <tableColumn id="14" xr3:uid="{3898742B-7AE8-41A8-ABB2-99F4E9D218B6}" name="Operational Year 12" dataDxfId="33">
      <calculatedColumnFormula>DCF!N58-'Outcomes Dashboard'!N12</calculatedColumnFormula>
    </tableColumn>
  </tableColumns>
  <tableStyleInfo showFirstColumn="1"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15EE0351-8AE2-4B8A-8550-C7F843D2F5E2}" name="MRG_Key_Data_NPV" displayName="MRG_Key_Data_NPV" ref="A46:B50" totalsRowShown="0" headerRowDxfId="32" tableBorderDxfId="31" headerRowCellStyle="Heading 6">
  <autoFilter ref="A46:B50" xr:uid="{15EE0351-8AE2-4B8A-8550-C7F843D2F5E2}">
    <filterColumn colId="0" hiddenButton="1"/>
    <filterColumn colId="1" hiddenButton="1"/>
  </autoFilter>
  <tableColumns count="2">
    <tableColumn id="1" xr3:uid="{95F4A843-6584-4E15-8802-0FE055F4E38A}" name="Net Present Values of Key Data" dataDxfId="30"/>
    <tableColumn id="2" xr3:uid="{6F2EE8B9-B5E9-43C7-AF10-9C36DD0C140D}" name="Values"/>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tlaspolicy.com/ev-charging-cost-calculator/" TargetMode="External"/><Relationship Id="rId13" Type="http://schemas.openxmlformats.org/officeDocument/2006/relationships/hyperlink" Target="https://www.iea.org/reports/global-ev-outlook-2024/trends-in-electric-cars" TargetMode="External"/><Relationship Id="rId3" Type="http://schemas.openxmlformats.org/officeDocument/2006/relationships/hyperlink" Target="https://cleancities.energy.gov/files/u/news_events/document/612/file/JOBS%20EVSE%20webinar%20122121r3_approved%20to%20post.pdf?f1e034ebf3" TargetMode="External"/><Relationship Id="rId7" Type="http://schemas.openxmlformats.org/officeDocument/2006/relationships/hyperlink" Target="https://fred.stlouisfed.org/series/CUSR0000SEHF01" TargetMode="External"/><Relationship Id="rId12" Type="http://schemas.openxmlformats.org/officeDocument/2006/relationships/hyperlink" Target="https://www.transportation.gov/rural/ev/toolkit/ev-basics/charging-speeds" TargetMode="External"/><Relationship Id="rId2" Type="http://schemas.openxmlformats.org/officeDocument/2006/relationships/hyperlink" Target="https://afdc.energy.gov/fuels/electricity_infrastructure.html" TargetMode="External"/><Relationship Id="rId16" Type="http://schemas.openxmlformats.org/officeDocument/2006/relationships/table" Target="../tables/table3.xml"/><Relationship Id="rId1" Type="http://schemas.openxmlformats.org/officeDocument/2006/relationships/hyperlink" Target="https://afdc.energy.gov/fuels/electricity_infrastructure_development.html" TargetMode="External"/><Relationship Id="rId6" Type="http://schemas.openxmlformats.org/officeDocument/2006/relationships/hyperlink" Target="https://www.statista.com/outlook/mmo/electric-vehicles/united-states" TargetMode="External"/><Relationship Id="rId11" Type="http://schemas.openxmlformats.org/officeDocument/2006/relationships/hyperlink" Target="https://afdc.energy.gov/fuels/electricity_infrastructure_maintenance_and_operation.html" TargetMode="External"/><Relationship Id="rId5" Type="http://schemas.openxmlformats.org/officeDocument/2006/relationships/hyperlink" Target="https://www.sciencedirect.com/science/article/pii/S2213624X23000238" TargetMode="External"/><Relationship Id="rId15" Type="http://schemas.openxmlformats.org/officeDocument/2006/relationships/printerSettings" Target="../printerSettings/printerSettings2.bin"/><Relationship Id="rId10" Type="http://schemas.openxmlformats.org/officeDocument/2006/relationships/hyperlink" Target="https://afdc.energy.gov/fuels/electricity_infrastructure_trends.html" TargetMode="External"/><Relationship Id="rId4" Type="http://schemas.openxmlformats.org/officeDocument/2006/relationships/hyperlink" Target="https://www.anl.gov/esia/jobs-evse" TargetMode="External"/><Relationship Id="rId9" Type="http://schemas.openxmlformats.org/officeDocument/2006/relationships/hyperlink" Target="https://www.bnnbloomberg.ca/ev-charging-stations-are-finally-getting-busy-enough-to-make-money-in-us-1.2043266" TargetMode="External"/><Relationship Id="rId14" Type="http://schemas.openxmlformats.org/officeDocument/2006/relationships/hyperlink" Target="https://www.mckinsey.com/features/mckinsey-center-for-future-mobility/our-insights/can-public-ev-fast-charging-stations-be-profitable-in-the-united-stat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 Id="rId9" Type="http://schemas.openxmlformats.org/officeDocument/2006/relationships/table" Target="../tables/table2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2.xml"/><Relationship Id="rId13" Type="http://schemas.openxmlformats.org/officeDocument/2006/relationships/table" Target="../tables/table37.xml"/><Relationship Id="rId3" Type="http://schemas.openxmlformats.org/officeDocument/2006/relationships/table" Target="../tables/table27.xml"/><Relationship Id="rId7" Type="http://schemas.openxmlformats.org/officeDocument/2006/relationships/table" Target="../tables/table31.xml"/><Relationship Id="rId12" Type="http://schemas.openxmlformats.org/officeDocument/2006/relationships/table" Target="../tables/table36.xml"/><Relationship Id="rId2" Type="http://schemas.openxmlformats.org/officeDocument/2006/relationships/table" Target="../tables/table26.xml"/><Relationship Id="rId1" Type="http://schemas.openxmlformats.org/officeDocument/2006/relationships/printerSettings" Target="../printerSettings/printerSettings5.bin"/><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0" Type="http://schemas.openxmlformats.org/officeDocument/2006/relationships/table" Target="../tables/table34.xml"/><Relationship Id="rId4" Type="http://schemas.openxmlformats.org/officeDocument/2006/relationships/table" Target="../tables/table28.xml"/><Relationship Id="rId9" Type="http://schemas.openxmlformats.org/officeDocument/2006/relationships/table" Target="../tables/table33.xml"/><Relationship Id="rId14" Type="http://schemas.openxmlformats.org/officeDocument/2006/relationships/table" Target="../tables/table3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table" Target="../tables/table39.xml"/><Relationship Id="rId1" Type="http://schemas.openxmlformats.org/officeDocument/2006/relationships/printerSettings" Target="../printerSettings/printerSettings6.bin"/><Relationship Id="rId6" Type="http://schemas.openxmlformats.org/officeDocument/2006/relationships/table" Target="../tables/table43.xml"/><Relationship Id="rId11" Type="http://schemas.openxmlformats.org/officeDocument/2006/relationships/table" Target="../tables/table48.xml"/><Relationship Id="rId5" Type="http://schemas.openxmlformats.org/officeDocument/2006/relationships/table" Target="../tables/table42.xml"/><Relationship Id="rId10" Type="http://schemas.openxmlformats.org/officeDocument/2006/relationships/table" Target="../tables/table47.xml"/><Relationship Id="rId4" Type="http://schemas.openxmlformats.org/officeDocument/2006/relationships/table" Target="../tables/table41.xml"/><Relationship Id="rId9" Type="http://schemas.openxmlformats.org/officeDocument/2006/relationships/table" Target="../tables/table4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table" Target="../tables/table50.xml"/><Relationship Id="rId7" Type="http://schemas.openxmlformats.org/officeDocument/2006/relationships/table" Target="../tables/table54.xml"/><Relationship Id="rId2" Type="http://schemas.openxmlformats.org/officeDocument/2006/relationships/table" Target="../tables/table49.xml"/><Relationship Id="rId1" Type="http://schemas.openxmlformats.org/officeDocument/2006/relationships/drawing" Target="../drawings/drawing2.xml"/><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 Id="rId9" Type="http://schemas.openxmlformats.org/officeDocument/2006/relationships/table" Target="../tables/table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BB6F-6DE2-44AB-8CEB-D652D8A61A21}">
  <sheetPr codeName="Sheet1">
    <tabColor theme="9"/>
  </sheetPr>
  <dimension ref="A1:Q25"/>
  <sheetViews>
    <sheetView showGridLines="0" tabSelected="1" zoomScale="60" zoomScaleNormal="60" workbookViewId="0">
      <pane ySplit="3" topLeftCell="A5" activePane="bottomLeft" state="frozen"/>
      <selection pane="bottomLeft"/>
    </sheetView>
  </sheetViews>
  <sheetFormatPr defaultColWidth="8.6640625" defaultRowHeight="22.8" x14ac:dyDescent="0.4"/>
  <cols>
    <col min="1" max="1" width="53.33203125" style="12" customWidth="1"/>
    <col min="2" max="2" width="96.6640625" style="12" customWidth="1"/>
    <col min="3" max="3" width="21.33203125" style="12" customWidth="1"/>
    <col min="4" max="4" width="6.33203125" style="12" customWidth="1"/>
    <col min="5" max="5" width="12.5546875" style="12" customWidth="1"/>
    <col min="6" max="6" width="20.33203125" style="12" customWidth="1"/>
    <col min="7" max="7" width="31.5546875" style="12" customWidth="1"/>
    <col min="8" max="8" width="17.44140625" style="12" customWidth="1"/>
    <col min="9" max="9" width="5.33203125" style="12" customWidth="1"/>
    <col min="10" max="15" width="12.5546875" style="12" customWidth="1"/>
    <col min="16" max="19" width="8.6640625" style="12"/>
    <col min="20" max="20" width="8.6640625" style="12" customWidth="1"/>
    <col min="21" max="26" width="8.6640625" style="12"/>
    <col min="27" max="27" width="9.6640625" style="12" customWidth="1"/>
    <col min="28" max="29" width="8.6640625" style="12"/>
    <col min="30" max="30" width="8.6640625" style="12" customWidth="1"/>
    <col min="31" max="16384" width="8.6640625" style="12"/>
  </cols>
  <sheetData>
    <row r="1" spans="1:17" x14ac:dyDescent="0.4">
      <c r="A1" s="13" t="s">
        <v>28</v>
      </c>
      <c r="B1" s="15">
        <v>45450</v>
      </c>
    </row>
    <row r="2" spans="1:17" ht="6.6" hidden="1" customHeight="1" x14ac:dyDescent="0.4">
      <c r="A2" s="13"/>
      <c r="B2" s="15"/>
    </row>
    <row r="3" spans="1:17" ht="45" x14ac:dyDescent="0.75">
      <c r="A3" s="95" t="s">
        <v>129</v>
      </c>
      <c r="B3" s="71"/>
      <c r="C3" s="71"/>
      <c r="D3" s="71"/>
      <c r="E3" s="71"/>
      <c r="F3" s="71"/>
      <c r="G3" s="71"/>
      <c r="H3" s="71"/>
      <c r="I3" s="71"/>
      <c r="J3" s="71"/>
      <c r="K3" s="71"/>
      <c r="L3" s="71"/>
      <c r="M3" s="71"/>
      <c r="N3" s="71"/>
      <c r="O3" s="71"/>
      <c r="P3" s="71"/>
      <c r="Q3" s="71"/>
    </row>
    <row r="4" spans="1:17" ht="12" hidden="1" customHeight="1" x14ac:dyDescent="0.75">
      <c r="A4" s="95"/>
      <c r="B4" s="71"/>
      <c r="C4" s="71"/>
      <c r="D4" s="71"/>
      <c r="E4" s="71"/>
      <c r="F4" s="71"/>
      <c r="G4" s="71"/>
      <c r="H4" s="71"/>
      <c r="I4" s="71"/>
      <c r="J4" s="71"/>
      <c r="K4" s="71"/>
      <c r="L4" s="71"/>
      <c r="M4" s="71"/>
      <c r="N4" s="71"/>
      <c r="O4" s="71"/>
      <c r="P4" s="71"/>
      <c r="Q4" s="71"/>
    </row>
    <row r="5" spans="1:17" ht="153.6" customHeight="1" x14ac:dyDescent="0.4">
      <c r="A5" s="389" t="s">
        <v>336</v>
      </c>
      <c r="B5" s="389"/>
      <c r="C5" s="42"/>
      <c r="D5" s="42"/>
      <c r="E5" s="42"/>
      <c r="F5" s="42"/>
      <c r="G5" s="42"/>
      <c r="H5" s="42"/>
      <c r="I5" s="46"/>
    </row>
    <row r="6" spans="1:17" ht="9.6" hidden="1" customHeight="1" x14ac:dyDescent="0.4">
      <c r="A6" s="42"/>
      <c r="B6" s="42"/>
      <c r="C6" s="42"/>
      <c r="D6" s="42"/>
      <c r="E6" s="42"/>
      <c r="F6" s="42"/>
      <c r="G6" s="42"/>
    </row>
    <row r="7" spans="1:17" ht="210" customHeight="1" x14ac:dyDescent="0.4">
      <c r="A7" s="390" t="s">
        <v>295</v>
      </c>
      <c r="B7" s="391"/>
      <c r="C7" s="391"/>
      <c r="D7" s="391"/>
      <c r="E7" s="391"/>
      <c r="F7" s="391"/>
      <c r="G7" s="391"/>
      <c r="H7" s="392"/>
      <c r="I7" s="46"/>
    </row>
    <row r="8" spans="1:17" ht="13.95" hidden="1" customHeight="1" x14ac:dyDescent="0.4">
      <c r="A8" s="54"/>
    </row>
    <row r="9" spans="1:17" ht="45" x14ac:dyDescent="0.4">
      <c r="A9" s="377" t="s">
        <v>31</v>
      </c>
      <c r="B9" s="377"/>
    </row>
    <row r="10" spans="1:17" x14ac:dyDescent="0.4">
      <c r="A10" s="337" t="s">
        <v>30</v>
      </c>
      <c r="B10" s="338" t="s">
        <v>29</v>
      </c>
    </row>
    <row r="11" spans="1:17" x14ac:dyDescent="0.4">
      <c r="A11" s="335" t="s">
        <v>91</v>
      </c>
      <c r="B11" s="336" t="s">
        <v>92</v>
      </c>
    </row>
    <row r="12" spans="1:17" x14ac:dyDescent="0.4">
      <c r="A12" s="335"/>
      <c r="B12" s="336"/>
    </row>
    <row r="13" spans="1:17" x14ac:dyDescent="0.4">
      <c r="A13" s="206"/>
      <c r="B13" s="204"/>
    </row>
    <row r="14" spans="1:17" ht="9.6" hidden="1" customHeight="1" x14ac:dyDescent="0.4">
      <c r="A14" s="53"/>
    </row>
    <row r="15" spans="1:17" ht="45" x14ac:dyDescent="0.4">
      <c r="A15" s="377" t="s">
        <v>27</v>
      </c>
      <c r="B15" s="377"/>
    </row>
    <row r="16" spans="1:17" ht="23.1" customHeight="1" x14ac:dyDescent="0.4">
      <c r="A16" s="231" t="s">
        <v>32</v>
      </c>
      <c r="B16" s="232" t="s">
        <v>23</v>
      </c>
    </row>
    <row r="17" spans="1:13" ht="59.7" customHeight="1" x14ac:dyDescent="0.4">
      <c r="A17" s="228" t="s">
        <v>14</v>
      </c>
      <c r="B17" s="14" t="s">
        <v>19</v>
      </c>
    </row>
    <row r="18" spans="1:13" ht="78.75" customHeight="1" x14ac:dyDescent="0.4">
      <c r="A18" s="228" t="s">
        <v>57</v>
      </c>
      <c r="B18" s="14" t="s">
        <v>62</v>
      </c>
    </row>
    <row r="19" spans="1:13" ht="73.5" customHeight="1" x14ac:dyDescent="0.4">
      <c r="A19" s="228" t="s">
        <v>52</v>
      </c>
      <c r="B19" s="14" t="s">
        <v>179</v>
      </c>
    </row>
    <row r="20" spans="1:13" ht="46.2" customHeight="1" x14ac:dyDescent="0.4">
      <c r="A20" s="228" t="s">
        <v>34</v>
      </c>
      <c r="B20" s="14" t="s">
        <v>131</v>
      </c>
    </row>
    <row r="21" spans="1:13" ht="48.6" customHeight="1" x14ac:dyDescent="0.4">
      <c r="A21" s="228" t="s">
        <v>33</v>
      </c>
      <c r="B21" s="14" t="s">
        <v>132</v>
      </c>
    </row>
    <row r="22" spans="1:13" ht="74.7" customHeight="1" x14ac:dyDescent="0.4">
      <c r="A22" s="228" t="s">
        <v>53</v>
      </c>
      <c r="B22" s="14" t="s">
        <v>86</v>
      </c>
    </row>
    <row r="23" spans="1:13" ht="62.7" customHeight="1" x14ac:dyDescent="0.4">
      <c r="A23" s="229" t="s">
        <v>67</v>
      </c>
      <c r="B23" s="230" t="s">
        <v>85</v>
      </c>
    </row>
    <row r="24" spans="1:13" ht="22.5" customHeight="1" x14ac:dyDescent="0.4"/>
    <row r="25" spans="1:13" x14ac:dyDescent="0.4">
      <c r="M25" s="47"/>
    </row>
  </sheetData>
  <mergeCells count="2">
    <mergeCell ref="A5:B5"/>
    <mergeCell ref="A7:H7"/>
  </mergeCells>
  <pageMargins left="0.7" right="0.7" top="0.75" bottom="0.75" header="0.3" footer="0.3"/>
  <pageSetup orientation="portrait"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sheetPr>
  <dimension ref="A1:G24"/>
  <sheetViews>
    <sheetView showGridLines="0" zoomScale="55" zoomScaleNormal="55" workbookViewId="0">
      <pane ySplit="1" topLeftCell="A2" activePane="bottomLeft" state="frozen"/>
      <selection pane="bottomLeft"/>
    </sheetView>
  </sheetViews>
  <sheetFormatPr defaultColWidth="8.6640625" defaultRowHeight="22.8" x14ac:dyDescent="0.4"/>
  <cols>
    <col min="1" max="1" width="53.6640625" style="11" customWidth="1"/>
    <col min="2" max="2" width="65.33203125" style="11" customWidth="1"/>
    <col min="3" max="3" width="76.33203125" style="11" customWidth="1"/>
    <col min="4" max="16384" width="8.6640625" style="11"/>
  </cols>
  <sheetData>
    <row r="1" spans="1:7" s="200" customFormat="1" ht="45" x14ac:dyDescent="0.75">
      <c r="A1" s="201" t="s">
        <v>14</v>
      </c>
      <c r="C1" s="215"/>
    </row>
    <row r="2" spans="1:7" s="200" customFormat="1" ht="31.2" x14ac:dyDescent="0.6">
      <c r="A2" s="350" t="s">
        <v>334</v>
      </c>
      <c r="C2" s="215"/>
    </row>
    <row r="3" spans="1:7" s="200" customFormat="1" ht="58.95" customHeight="1" x14ac:dyDescent="0.3">
      <c r="A3" s="346" t="s">
        <v>335</v>
      </c>
      <c r="B3" s="347"/>
      <c r="C3" s="347"/>
      <c r="D3" s="345"/>
      <c r="E3" s="345"/>
      <c r="F3" s="345"/>
      <c r="G3" s="345"/>
    </row>
    <row r="4" spans="1:7" x14ac:dyDescent="0.4">
      <c r="A4" s="239" t="s">
        <v>15</v>
      </c>
      <c r="B4" s="240" t="s">
        <v>23</v>
      </c>
      <c r="C4" s="241" t="s">
        <v>16</v>
      </c>
    </row>
    <row r="5" spans="1:7" ht="45.6" x14ac:dyDescent="0.4">
      <c r="A5" s="233" t="s">
        <v>267</v>
      </c>
      <c r="B5" s="216" t="s">
        <v>135</v>
      </c>
      <c r="C5" s="234" t="s">
        <v>134</v>
      </c>
    </row>
    <row r="6" spans="1:7" ht="51" customHeight="1" x14ac:dyDescent="0.4">
      <c r="A6" s="233" t="s">
        <v>268</v>
      </c>
      <c r="B6" s="216" t="s">
        <v>127</v>
      </c>
      <c r="C6" s="234" t="s">
        <v>126</v>
      </c>
    </row>
    <row r="7" spans="1:7" ht="68.400000000000006" x14ac:dyDescent="0.4">
      <c r="A7" s="233" t="s">
        <v>269</v>
      </c>
      <c r="B7" s="216" t="s">
        <v>64</v>
      </c>
      <c r="C7" s="234" t="s">
        <v>65</v>
      </c>
    </row>
    <row r="8" spans="1:7" ht="45.6" x14ac:dyDescent="0.4">
      <c r="A8" s="233" t="s">
        <v>277</v>
      </c>
      <c r="B8" s="216" t="s">
        <v>276</v>
      </c>
      <c r="C8" s="234" t="s">
        <v>275</v>
      </c>
    </row>
    <row r="9" spans="1:7" ht="51" customHeight="1" x14ac:dyDescent="0.4">
      <c r="A9" s="233" t="s">
        <v>270</v>
      </c>
      <c r="B9" s="216" t="s">
        <v>278</v>
      </c>
      <c r="C9" s="234" t="s">
        <v>66</v>
      </c>
    </row>
    <row r="10" spans="1:7" ht="96" customHeight="1" x14ac:dyDescent="0.4">
      <c r="A10" s="233" t="s">
        <v>271</v>
      </c>
      <c r="B10" s="216" t="s">
        <v>184</v>
      </c>
      <c r="C10" s="378" t="s">
        <v>367</v>
      </c>
    </row>
    <row r="11" spans="1:7" ht="95.7" customHeight="1" x14ac:dyDescent="0.4">
      <c r="A11" s="233" t="s">
        <v>271</v>
      </c>
      <c r="B11" s="216" t="s">
        <v>182</v>
      </c>
      <c r="C11" s="378" t="s">
        <v>367</v>
      </c>
    </row>
    <row r="12" spans="1:7" ht="71.7" customHeight="1" x14ac:dyDescent="0.4">
      <c r="A12" s="233" t="s">
        <v>272</v>
      </c>
      <c r="B12" s="216" t="s">
        <v>183</v>
      </c>
      <c r="C12" s="378" t="s">
        <v>367</v>
      </c>
    </row>
    <row r="13" spans="1:7" ht="50.1" customHeight="1" x14ac:dyDescent="0.45">
      <c r="A13" s="233" t="s">
        <v>20</v>
      </c>
      <c r="B13" s="216" t="s">
        <v>181</v>
      </c>
      <c r="C13" s="235" t="s">
        <v>17</v>
      </c>
    </row>
    <row r="14" spans="1:7" ht="45.6" x14ac:dyDescent="0.4">
      <c r="A14" s="233" t="s">
        <v>20</v>
      </c>
      <c r="B14" s="216" t="s">
        <v>185</v>
      </c>
      <c r="C14" s="234" t="s">
        <v>18</v>
      </c>
    </row>
    <row r="15" spans="1:7" ht="55.5" customHeight="1" x14ac:dyDescent="0.4">
      <c r="A15" s="233" t="s">
        <v>20</v>
      </c>
      <c r="B15" s="216" t="s">
        <v>187</v>
      </c>
      <c r="C15" s="234" t="s">
        <v>186</v>
      </c>
    </row>
    <row r="16" spans="1:7" ht="45.6" x14ac:dyDescent="0.4">
      <c r="A16" s="233" t="s">
        <v>20</v>
      </c>
      <c r="B16" s="216" t="s">
        <v>25</v>
      </c>
      <c r="C16" s="234" t="s">
        <v>24</v>
      </c>
    </row>
    <row r="17" spans="1:3" ht="91.2" x14ac:dyDescent="0.4">
      <c r="A17" s="233" t="s">
        <v>273</v>
      </c>
      <c r="B17" s="216" t="s">
        <v>281</v>
      </c>
      <c r="C17" s="234" t="s">
        <v>21</v>
      </c>
    </row>
    <row r="18" spans="1:3" ht="45.6" x14ac:dyDescent="0.4">
      <c r="A18" s="233" t="s">
        <v>26</v>
      </c>
      <c r="B18" s="216" t="s">
        <v>282</v>
      </c>
      <c r="C18" s="234" t="s">
        <v>22</v>
      </c>
    </row>
    <row r="19" spans="1:3" ht="45.6" x14ac:dyDescent="0.4">
      <c r="A19" s="233" t="s">
        <v>288</v>
      </c>
      <c r="B19" s="216" t="s">
        <v>289</v>
      </c>
      <c r="C19" s="234" t="s">
        <v>290</v>
      </c>
    </row>
    <row r="20" spans="1:3" ht="68.400000000000006" x14ac:dyDescent="0.4">
      <c r="A20" s="233" t="s">
        <v>274</v>
      </c>
      <c r="B20" s="216" t="s">
        <v>279</v>
      </c>
      <c r="C20" s="234" t="s">
        <v>188</v>
      </c>
    </row>
    <row r="21" spans="1:3" ht="91.2" x14ac:dyDescent="0.4">
      <c r="A21" s="233" t="s">
        <v>292</v>
      </c>
      <c r="B21" s="216" t="s">
        <v>293</v>
      </c>
      <c r="C21" s="234" t="s">
        <v>291</v>
      </c>
    </row>
    <row r="22" spans="1:3" ht="68.400000000000006" x14ac:dyDescent="0.4">
      <c r="A22" s="233" t="s">
        <v>280</v>
      </c>
      <c r="B22" s="216" t="s">
        <v>283</v>
      </c>
      <c r="C22" s="234" t="s">
        <v>284</v>
      </c>
    </row>
    <row r="23" spans="1:3" ht="114" x14ac:dyDescent="0.4">
      <c r="A23" s="233" t="s">
        <v>272</v>
      </c>
      <c r="B23" s="218" t="s">
        <v>235</v>
      </c>
      <c r="C23" s="234" t="s">
        <v>234</v>
      </c>
    </row>
    <row r="24" spans="1:3" ht="45.6" x14ac:dyDescent="0.4">
      <c r="A24" s="236" t="s">
        <v>285</v>
      </c>
      <c r="B24" s="237" t="s">
        <v>286</v>
      </c>
      <c r="C24" s="238" t="s">
        <v>287</v>
      </c>
    </row>
  </sheetData>
  <hyperlinks>
    <hyperlink ref="C13" r:id="rId1" xr:uid="{7C83786A-8E37-491B-AE78-EF76ED38BD61}"/>
    <hyperlink ref="C14" r:id="rId2" xr:uid="{7A03EF1F-C10D-4088-A044-2FD8C88CC832}"/>
    <hyperlink ref="C17" r:id="rId3" display="https://cleancities.energy.gov/files/u/news_events/document/612/file/JOBS EVSE webinar 122121r3_approved to post.pdf?f1e034ebf3" xr:uid="{BD63F106-ED91-483C-B62B-8E2A1C85F3F4}"/>
    <hyperlink ref="C18" r:id="rId4" xr:uid="{435D1996-BF7F-41B5-8AF4-38DF387D9297}"/>
    <hyperlink ref="C7" r:id="rId5" xr:uid="{2793D593-0820-4405-B6F2-00B4ECB37D70}"/>
    <hyperlink ref="C9" r:id="rId6" xr:uid="{8C3D6B5C-0FF4-4F43-90E3-E0BE88829643}"/>
    <hyperlink ref="C6" r:id="rId7" location="0 " xr:uid="{9A6CC603-EBA7-413C-A099-41E8BCC78CCD}"/>
    <hyperlink ref="C5" r:id="rId8" xr:uid="{71500995-0564-4C25-89C7-272A0F97D090}"/>
    <hyperlink ref="C20" r:id="rId9" xr:uid="{E3BF8715-5CA0-41CA-A65E-D6E03732F131}"/>
    <hyperlink ref="C15" r:id="rId10" xr:uid="{2D4297A3-E772-4A8A-9A29-C5CEC9F99FE6}"/>
    <hyperlink ref="C16" r:id="rId11" xr:uid="{F7DAF46B-2E8F-4AE7-A9BD-4AB67725296B}"/>
    <hyperlink ref="C23" r:id="rId12" location=":~:text=DCFC%20equipment%20can%20charge%20a,not%20work%20with%20fast%20chargers." xr:uid="{CCB7E095-34A8-4E1E-ABAD-4318D7F6C0DF}"/>
    <hyperlink ref="C8" r:id="rId13" xr:uid="{99A467A5-7EBC-492B-8F2C-7C2671D5EDA9}"/>
    <hyperlink ref="C21" r:id="rId14" xr:uid="{48AC9F76-282E-48F5-A5F9-57635BFF258C}"/>
  </hyperlinks>
  <pageMargins left="0.7" right="0.7" top="0.75" bottom="0.75" header="0.3" footer="0.3"/>
  <pageSetup orientation="portrait" r:id="rId15"/>
  <tableParts count="1">
    <tablePart r:id="rId1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6C83-341B-4359-8CB3-7D2CFE6550DD}">
  <sheetPr codeName="Sheet3">
    <tabColor theme="7" tint="0.79998168889431442"/>
  </sheetPr>
  <dimension ref="A1:AT37"/>
  <sheetViews>
    <sheetView showGridLines="0" zoomScale="55" zoomScaleNormal="55" workbookViewId="0">
      <pane ySplit="1" topLeftCell="A2" activePane="bottomLeft" state="frozen"/>
      <selection pane="bottomLeft"/>
    </sheetView>
  </sheetViews>
  <sheetFormatPr defaultColWidth="9.33203125" defaultRowHeight="14.4" x14ac:dyDescent="0.3"/>
  <cols>
    <col min="1" max="1" width="9.33203125" style="200"/>
    <col min="2" max="2" width="34" style="200" customWidth="1"/>
    <col min="3" max="3" width="9.33203125" style="200"/>
    <col min="4" max="4" width="6.33203125" style="200" customWidth="1"/>
    <col min="5" max="5" width="15.6640625" style="200" customWidth="1"/>
    <col min="6" max="6" width="9.33203125" style="200"/>
    <col min="7" max="7" width="11.33203125" style="200" customWidth="1"/>
    <col min="8" max="10" width="9.33203125" style="200"/>
    <col min="11" max="11" width="19.5546875" style="200" customWidth="1"/>
    <col min="12" max="13" width="9.33203125" style="200"/>
    <col min="14" max="14" width="18.33203125" style="200" customWidth="1"/>
    <col min="15" max="36" width="9.33203125" style="200"/>
    <col min="37" max="37" width="15.5546875" style="200" customWidth="1"/>
    <col min="38" max="41" width="9.33203125" style="200"/>
    <col min="42" max="42" width="11.44140625" style="200" customWidth="1"/>
    <col min="43" max="16384" width="9.33203125" style="200"/>
  </cols>
  <sheetData>
    <row r="1" spans="1:46" ht="45" x14ac:dyDescent="0.75">
      <c r="A1" s="201" t="s">
        <v>57</v>
      </c>
    </row>
    <row r="2" spans="1:46" ht="33.75" customHeight="1" x14ac:dyDescent="0.3">
      <c r="A2" s="202" t="s">
        <v>62</v>
      </c>
      <c r="B2" s="203"/>
    </row>
    <row r="4" spans="1:46" ht="22.8" x14ac:dyDescent="0.4">
      <c r="A4" s="2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6"/>
    </row>
    <row r="5" spans="1:46" ht="22.8" x14ac:dyDescent="0.4">
      <c r="A5" s="207"/>
      <c r="B5" s="53"/>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208"/>
    </row>
    <row r="6" spans="1:46" ht="28.2" x14ac:dyDescent="0.5">
      <c r="A6" s="207"/>
      <c r="B6" s="209"/>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208"/>
    </row>
    <row r="7" spans="1:46" ht="22.8" x14ac:dyDescent="0.4">
      <c r="A7" s="207"/>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208"/>
    </row>
    <row r="8" spans="1:46" ht="22.8" x14ac:dyDescent="0.4">
      <c r="A8" s="207"/>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208"/>
    </row>
    <row r="9" spans="1:46" ht="22.8" x14ac:dyDescent="0.4">
      <c r="A9" s="207"/>
      <c r="B9" s="12"/>
      <c r="C9" s="12"/>
      <c r="D9" s="12"/>
      <c r="E9" s="12"/>
      <c r="F9" s="12"/>
      <c r="G9" s="12"/>
      <c r="H9" s="210"/>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208"/>
    </row>
    <row r="10" spans="1:46" ht="22.8" x14ac:dyDescent="0.4">
      <c r="A10" s="207"/>
      <c r="B10" s="12"/>
      <c r="C10" s="12"/>
      <c r="D10" s="12"/>
      <c r="E10" s="12"/>
      <c r="F10" s="12"/>
      <c r="G10" s="12"/>
      <c r="H10" s="47"/>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3"/>
      <c r="AO10" s="12"/>
      <c r="AP10" s="12"/>
      <c r="AQ10" s="12"/>
      <c r="AR10" s="12"/>
      <c r="AS10" s="12"/>
      <c r="AT10" s="208"/>
    </row>
    <row r="11" spans="1:46" ht="22.8" x14ac:dyDescent="0.4">
      <c r="A11" s="207"/>
      <c r="B11" s="12"/>
      <c r="C11" s="12"/>
      <c r="D11" s="12"/>
      <c r="E11" s="12"/>
      <c r="F11" s="12"/>
      <c r="G11" s="12"/>
      <c r="H11" s="47"/>
      <c r="I11" s="12"/>
      <c r="J11" s="47"/>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47"/>
      <c r="AO11" s="47"/>
      <c r="AP11" s="47"/>
      <c r="AQ11" s="47"/>
      <c r="AR11" s="47"/>
      <c r="AS11" s="47"/>
      <c r="AT11" s="208"/>
    </row>
    <row r="12" spans="1:46" ht="22.8" x14ac:dyDescent="0.4">
      <c r="A12" s="207"/>
      <c r="B12" s="12"/>
      <c r="C12" s="12"/>
      <c r="D12" s="12"/>
      <c r="E12" s="12"/>
      <c r="F12" s="12"/>
      <c r="G12" s="12"/>
      <c r="H12" s="47"/>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47"/>
      <c r="AO12" s="47"/>
      <c r="AP12" s="47"/>
      <c r="AQ12" s="47"/>
      <c r="AR12" s="47"/>
      <c r="AS12" s="47"/>
      <c r="AT12" s="208"/>
    </row>
    <row r="13" spans="1:46" ht="22.8" x14ac:dyDescent="0.4">
      <c r="A13" s="207"/>
      <c r="B13" s="12"/>
      <c r="C13" s="12"/>
      <c r="D13" s="12"/>
      <c r="E13" s="12"/>
      <c r="F13" s="12"/>
      <c r="G13" s="12"/>
      <c r="H13" s="47"/>
      <c r="I13" s="12"/>
      <c r="J13" s="12"/>
      <c r="K13" s="12"/>
      <c r="L13" s="12"/>
      <c r="M13" s="12"/>
      <c r="N13" s="12"/>
      <c r="O13" s="12"/>
      <c r="P13" s="12"/>
      <c r="Q13" s="12"/>
      <c r="R13" s="12"/>
      <c r="S13" s="12"/>
      <c r="T13" s="12"/>
      <c r="U13" s="12"/>
      <c r="V13" s="12"/>
      <c r="W13" s="210"/>
      <c r="X13" s="12"/>
      <c r="Y13" s="12"/>
      <c r="Z13" s="12"/>
      <c r="AA13" s="12"/>
      <c r="AB13" s="12"/>
      <c r="AC13" s="12"/>
      <c r="AD13" s="12"/>
      <c r="AE13" s="12"/>
      <c r="AF13" s="12"/>
      <c r="AG13" s="12"/>
      <c r="AH13" s="12"/>
      <c r="AI13" s="12"/>
      <c r="AJ13" s="12"/>
      <c r="AK13" s="12"/>
      <c r="AL13" s="12"/>
      <c r="AM13" s="12"/>
      <c r="AN13" s="47"/>
      <c r="AO13" s="47"/>
      <c r="AP13" s="47"/>
      <c r="AQ13" s="47"/>
      <c r="AR13" s="47"/>
      <c r="AS13" s="47"/>
      <c r="AT13" s="208"/>
    </row>
    <row r="14" spans="1:46" ht="22.8" x14ac:dyDescent="0.4">
      <c r="A14" s="207"/>
      <c r="B14" s="12"/>
      <c r="C14" s="12"/>
      <c r="D14" s="12"/>
      <c r="E14" s="12"/>
      <c r="F14" s="12"/>
      <c r="G14" s="12"/>
      <c r="H14" s="47"/>
      <c r="I14" s="12"/>
      <c r="J14" s="12"/>
      <c r="K14" s="12"/>
      <c r="L14" s="12"/>
      <c r="M14" s="12"/>
      <c r="N14" s="12"/>
      <c r="O14" s="12"/>
      <c r="P14" s="12"/>
      <c r="Q14" s="12"/>
      <c r="R14" s="12"/>
      <c r="S14" s="12"/>
      <c r="T14" s="12"/>
      <c r="U14" s="12"/>
      <c r="V14" s="12"/>
      <c r="W14" s="47"/>
      <c r="X14" s="12"/>
      <c r="Y14" s="12"/>
      <c r="Z14" s="12"/>
      <c r="AA14" s="12"/>
      <c r="AB14" s="12"/>
      <c r="AC14" s="12"/>
      <c r="AD14" s="12"/>
      <c r="AE14" s="12"/>
      <c r="AF14" s="12"/>
      <c r="AG14" s="12"/>
      <c r="AH14" s="12"/>
      <c r="AI14" s="12"/>
      <c r="AJ14" s="12"/>
      <c r="AK14" s="12"/>
      <c r="AL14" s="12"/>
      <c r="AM14" s="12"/>
      <c r="AN14" s="47"/>
      <c r="AO14" s="47"/>
      <c r="AP14" s="47"/>
      <c r="AQ14" s="47"/>
      <c r="AR14" s="47"/>
      <c r="AS14" s="47"/>
      <c r="AT14" s="208"/>
    </row>
    <row r="15" spans="1:46" ht="22.8" x14ac:dyDescent="0.4">
      <c r="A15" s="207"/>
      <c r="B15" s="47"/>
      <c r="C15" s="12"/>
      <c r="D15" s="12"/>
      <c r="E15" s="12"/>
      <c r="F15" s="12"/>
      <c r="G15" s="12"/>
      <c r="H15" s="210"/>
      <c r="I15" s="12"/>
      <c r="J15" s="12"/>
      <c r="K15" s="12"/>
      <c r="L15" s="12"/>
      <c r="M15" s="12"/>
      <c r="N15" s="12"/>
      <c r="O15" s="12"/>
      <c r="P15" s="12"/>
      <c r="Q15" s="12"/>
      <c r="R15" s="12"/>
      <c r="S15" s="12"/>
      <c r="T15" s="12"/>
      <c r="U15" s="12"/>
      <c r="V15" s="12"/>
      <c r="W15" s="47"/>
      <c r="X15" s="12"/>
      <c r="Y15" s="12"/>
      <c r="Z15" s="12"/>
      <c r="AA15" s="12"/>
      <c r="AB15" s="12"/>
      <c r="AC15" s="12"/>
      <c r="AD15" s="12"/>
      <c r="AE15" s="12"/>
      <c r="AF15" s="12"/>
      <c r="AG15" s="12"/>
      <c r="AH15" s="12"/>
      <c r="AI15" s="12"/>
      <c r="AJ15" s="12"/>
      <c r="AK15" s="12"/>
      <c r="AL15" s="12"/>
      <c r="AM15" s="12"/>
      <c r="AN15" s="211"/>
      <c r="AO15" s="211"/>
      <c r="AP15" s="211"/>
      <c r="AQ15" s="47"/>
      <c r="AR15" s="47"/>
      <c r="AS15" s="47"/>
      <c r="AT15" s="208"/>
    </row>
    <row r="16" spans="1:46" ht="22.8" x14ac:dyDescent="0.4">
      <c r="A16" s="207"/>
      <c r="B16" s="12"/>
      <c r="C16" s="12"/>
      <c r="D16" s="12"/>
      <c r="E16" s="47"/>
      <c r="F16" s="12"/>
      <c r="G16" s="12"/>
      <c r="H16" s="47"/>
      <c r="I16" s="47"/>
      <c r="J16" s="47"/>
      <c r="K16" s="47"/>
      <c r="L16" s="47"/>
      <c r="M16" s="47"/>
      <c r="N16" s="47"/>
      <c r="O16" s="47"/>
      <c r="P16" s="47"/>
      <c r="Q16" s="12"/>
      <c r="R16" s="12"/>
      <c r="S16" s="12"/>
      <c r="T16" s="47"/>
      <c r="U16" s="12"/>
      <c r="V16" s="12"/>
      <c r="W16" s="47"/>
      <c r="X16" s="12"/>
      <c r="Y16" s="12"/>
      <c r="Z16" s="12"/>
      <c r="AA16" s="12"/>
      <c r="AB16" s="12"/>
      <c r="AC16" s="12"/>
      <c r="AD16" s="12"/>
      <c r="AE16" s="12"/>
      <c r="AF16" s="12"/>
      <c r="AG16" s="12"/>
      <c r="AH16" s="12"/>
      <c r="AI16" s="12"/>
      <c r="AJ16" s="12"/>
      <c r="AK16" s="12"/>
      <c r="AL16" s="12"/>
      <c r="AM16" s="12"/>
      <c r="AN16" s="211"/>
      <c r="AO16" s="211"/>
      <c r="AP16" s="211"/>
      <c r="AQ16" s="47"/>
      <c r="AR16" s="47"/>
      <c r="AS16" s="47"/>
      <c r="AT16" s="208"/>
    </row>
    <row r="17" spans="1:46" ht="22.8" x14ac:dyDescent="0.4">
      <c r="A17" s="207"/>
      <c r="B17" s="47"/>
      <c r="C17" s="12"/>
      <c r="D17" s="12"/>
      <c r="E17" s="12"/>
      <c r="F17" s="12"/>
      <c r="G17" s="12"/>
      <c r="H17" s="47"/>
      <c r="I17" s="47"/>
      <c r="J17" s="47"/>
      <c r="K17" s="47"/>
      <c r="L17" s="47"/>
      <c r="M17" s="47"/>
      <c r="N17" s="47"/>
      <c r="O17" s="47"/>
      <c r="P17" s="47"/>
      <c r="Q17" s="12"/>
      <c r="R17" s="12"/>
      <c r="S17" s="12"/>
      <c r="T17" s="12"/>
      <c r="U17" s="12"/>
      <c r="V17" s="12"/>
      <c r="W17" s="210"/>
      <c r="X17" s="12"/>
      <c r="Y17" s="12"/>
      <c r="Z17" s="12"/>
      <c r="AA17" s="12"/>
      <c r="AB17" s="12"/>
      <c r="AC17" s="12"/>
      <c r="AD17" s="12"/>
      <c r="AE17" s="12"/>
      <c r="AF17" s="12"/>
      <c r="AG17" s="12"/>
      <c r="AH17" s="12"/>
      <c r="AI17" s="12"/>
      <c r="AJ17" s="12"/>
      <c r="AK17" s="12"/>
      <c r="AL17" s="12"/>
      <c r="AM17" s="12"/>
      <c r="AQ17" s="12"/>
      <c r="AR17" s="12"/>
      <c r="AS17" s="12"/>
      <c r="AT17" s="208"/>
    </row>
    <row r="18" spans="1:46" ht="22.8" x14ac:dyDescent="0.4">
      <c r="A18" s="207"/>
      <c r="B18" s="12"/>
      <c r="C18" s="12"/>
      <c r="D18" s="12"/>
      <c r="E18" s="12"/>
      <c r="F18" s="12"/>
      <c r="G18" s="12"/>
      <c r="H18" s="47"/>
      <c r="I18" s="12"/>
      <c r="J18" s="12"/>
      <c r="K18" s="12"/>
      <c r="L18" s="12"/>
      <c r="M18" s="12"/>
      <c r="N18" s="12"/>
      <c r="O18" s="12"/>
      <c r="P18" s="12"/>
      <c r="Q18" s="12"/>
      <c r="R18" s="12"/>
      <c r="S18" s="12"/>
      <c r="T18" s="12"/>
      <c r="U18" s="12"/>
      <c r="V18" s="12"/>
      <c r="W18" s="47"/>
      <c r="X18" s="12"/>
      <c r="Y18" s="12"/>
      <c r="Z18" s="12"/>
      <c r="AA18" s="12"/>
      <c r="AB18" s="12"/>
      <c r="AC18" s="12"/>
      <c r="AD18" s="12"/>
      <c r="AE18" s="12"/>
      <c r="AF18" s="12"/>
      <c r="AG18" s="12"/>
      <c r="AH18" s="12"/>
      <c r="AI18" s="12"/>
      <c r="AJ18" s="12"/>
      <c r="AK18" s="12"/>
      <c r="AL18" s="12"/>
      <c r="AM18" s="12"/>
      <c r="AN18" s="13"/>
      <c r="AO18" s="12"/>
      <c r="AP18" s="12"/>
      <c r="AQ18" s="12"/>
      <c r="AR18" s="12"/>
      <c r="AS18" s="12"/>
      <c r="AT18" s="208"/>
    </row>
    <row r="19" spans="1:46" ht="22.8" x14ac:dyDescent="0.4">
      <c r="A19" s="207"/>
      <c r="B19" s="12"/>
      <c r="C19" s="12"/>
      <c r="D19" s="12"/>
      <c r="E19" s="12"/>
      <c r="F19" s="12"/>
      <c r="G19" s="12"/>
      <c r="H19" s="47"/>
      <c r="I19" s="12"/>
      <c r="J19" s="12"/>
      <c r="K19" s="12"/>
      <c r="L19" s="12"/>
      <c r="M19" s="12"/>
      <c r="N19" s="12"/>
      <c r="O19" s="12"/>
      <c r="P19" s="12"/>
      <c r="Q19" s="12"/>
      <c r="R19" s="12"/>
      <c r="S19" s="12"/>
      <c r="T19" s="12"/>
      <c r="U19" s="12"/>
      <c r="V19" s="12"/>
      <c r="W19" s="47"/>
      <c r="X19" s="12"/>
      <c r="Y19" s="12"/>
      <c r="Z19" s="12"/>
      <c r="AA19" s="12"/>
      <c r="AB19" s="12"/>
      <c r="AC19" s="12"/>
      <c r="AD19" s="12"/>
      <c r="AE19" s="12"/>
      <c r="AF19" s="12"/>
      <c r="AG19" s="12"/>
      <c r="AH19" s="12"/>
      <c r="AI19" s="12"/>
      <c r="AJ19" s="12"/>
      <c r="AK19" s="12"/>
      <c r="AL19" s="12"/>
      <c r="AM19" s="12"/>
      <c r="AN19" s="12"/>
      <c r="AO19" s="12"/>
      <c r="AP19" s="12"/>
      <c r="AQ19" s="12"/>
      <c r="AR19" s="12"/>
      <c r="AS19" s="12"/>
      <c r="AT19" s="208"/>
    </row>
    <row r="20" spans="1:46" ht="22.8" x14ac:dyDescent="0.4">
      <c r="A20" s="207"/>
      <c r="B20" s="12"/>
      <c r="C20" s="12"/>
      <c r="D20" s="12"/>
      <c r="E20" s="12"/>
      <c r="F20" s="12"/>
      <c r="G20" s="12"/>
      <c r="H20" s="210"/>
      <c r="I20" s="12"/>
      <c r="J20" s="12"/>
      <c r="K20" s="12"/>
      <c r="L20" s="12"/>
      <c r="M20" s="12"/>
      <c r="N20" s="12"/>
      <c r="O20" s="12"/>
      <c r="P20" s="12"/>
      <c r="Q20" s="12"/>
      <c r="R20" s="12"/>
      <c r="S20" s="12"/>
      <c r="T20" s="12"/>
      <c r="U20" s="12"/>
      <c r="V20" s="12"/>
      <c r="W20" s="47"/>
      <c r="X20" s="12"/>
      <c r="Y20" s="12"/>
      <c r="Z20" s="12"/>
      <c r="AA20" s="12"/>
      <c r="AB20" s="12"/>
      <c r="AC20" s="12"/>
      <c r="AD20" s="12"/>
      <c r="AE20" s="12"/>
      <c r="AF20" s="12"/>
      <c r="AG20" s="12"/>
      <c r="AH20" s="12"/>
      <c r="AI20" s="12"/>
      <c r="AJ20" s="12"/>
      <c r="AK20" s="12"/>
      <c r="AL20" s="12"/>
      <c r="AM20" s="12"/>
      <c r="AN20" s="12"/>
      <c r="AO20" s="12"/>
      <c r="AP20" s="12"/>
      <c r="AQ20" s="12"/>
      <c r="AR20" s="12"/>
      <c r="AS20" s="12"/>
      <c r="AT20" s="208"/>
    </row>
    <row r="21" spans="1:46" ht="22.8" x14ac:dyDescent="0.4">
      <c r="A21" s="207"/>
      <c r="B21" s="12"/>
      <c r="C21" s="12"/>
      <c r="D21" s="12"/>
      <c r="E21" s="12"/>
      <c r="F21" s="12"/>
      <c r="G21" s="12"/>
      <c r="H21" s="47"/>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208"/>
    </row>
    <row r="22" spans="1:46" ht="22.8" x14ac:dyDescent="0.4">
      <c r="A22" s="207"/>
      <c r="B22" s="12"/>
      <c r="C22" s="12"/>
      <c r="D22" s="12"/>
      <c r="E22" s="12"/>
      <c r="F22" s="12"/>
      <c r="G22" s="12"/>
      <c r="H22" s="47"/>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N22" s="12"/>
      <c r="AO22" s="12"/>
      <c r="AP22" s="12"/>
      <c r="AQ22" s="12"/>
      <c r="AR22" s="12"/>
      <c r="AS22" s="12"/>
      <c r="AT22" s="208"/>
    </row>
    <row r="23" spans="1:46" ht="22.8" x14ac:dyDescent="0.4">
      <c r="A23" s="207"/>
      <c r="B23" s="12"/>
      <c r="C23" s="12"/>
      <c r="D23" s="12"/>
      <c r="E23" s="12"/>
      <c r="F23" s="12"/>
      <c r="G23" s="12"/>
      <c r="H23" s="47"/>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208"/>
    </row>
    <row r="24" spans="1:46" ht="22.8" x14ac:dyDescent="0.4">
      <c r="A24" s="207"/>
      <c r="B24" s="12"/>
      <c r="C24" s="12"/>
      <c r="D24" s="12"/>
      <c r="E24" s="12"/>
      <c r="F24" s="12"/>
      <c r="G24" s="12"/>
      <c r="H24" s="210"/>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208"/>
    </row>
    <row r="25" spans="1:46" ht="22.8" x14ac:dyDescent="0.4">
      <c r="A25" s="207"/>
      <c r="B25" s="12"/>
      <c r="C25" s="12"/>
      <c r="D25" s="12"/>
      <c r="E25" s="12"/>
      <c r="F25" s="12"/>
      <c r="G25" s="12"/>
      <c r="H25" s="47"/>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208"/>
    </row>
    <row r="26" spans="1:46" ht="22.8" x14ac:dyDescent="0.4">
      <c r="A26" s="207"/>
      <c r="B26" s="12"/>
      <c r="C26" s="12"/>
      <c r="D26" s="12"/>
      <c r="E26" s="12"/>
      <c r="F26" s="12"/>
      <c r="G26" s="12"/>
      <c r="H26" s="47"/>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208"/>
    </row>
    <row r="27" spans="1:46" ht="22.8" x14ac:dyDescent="0.4">
      <c r="A27" s="207"/>
      <c r="B27" s="12"/>
      <c r="C27" s="12"/>
      <c r="D27" s="12"/>
      <c r="E27" s="12"/>
      <c r="F27" s="12"/>
      <c r="G27" s="12"/>
      <c r="H27" s="47"/>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208"/>
    </row>
    <row r="28" spans="1:46" ht="22.8" x14ac:dyDescent="0.4">
      <c r="A28" s="207"/>
      <c r="B28" s="12"/>
      <c r="C28" s="12"/>
      <c r="D28" s="12"/>
      <c r="E28" s="12"/>
      <c r="F28" s="12"/>
      <c r="G28" s="12"/>
      <c r="H28" s="47"/>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208"/>
    </row>
    <row r="29" spans="1:46" ht="22.8" x14ac:dyDescent="0.4">
      <c r="A29" s="207"/>
      <c r="B29" s="12"/>
      <c r="C29" s="12"/>
      <c r="D29" s="12"/>
      <c r="E29" s="12"/>
      <c r="F29" s="12"/>
      <c r="G29" s="12"/>
      <c r="H29" s="210"/>
      <c r="I29" s="13"/>
      <c r="J29" s="13"/>
      <c r="K29" s="13"/>
      <c r="L29" s="13"/>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208"/>
    </row>
    <row r="30" spans="1:46" ht="22.8" x14ac:dyDescent="0.4">
      <c r="A30" s="207"/>
      <c r="B30" s="12"/>
      <c r="C30" s="12"/>
      <c r="D30" s="12"/>
      <c r="E30" s="12"/>
      <c r="F30" s="12"/>
      <c r="G30" s="12"/>
      <c r="H30" s="47"/>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208"/>
    </row>
    <row r="31" spans="1:46" ht="22.8" x14ac:dyDescent="0.4">
      <c r="A31" s="207"/>
      <c r="B31" s="12"/>
      <c r="C31" s="12"/>
      <c r="D31" s="12"/>
      <c r="E31" s="12"/>
      <c r="F31" s="12"/>
      <c r="G31" s="12"/>
      <c r="H31" s="47"/>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208"/>
    </row>
    <row r="32" spans="1:46" ht="22.8" x14ac:dyDescent="0.4">
      <c r="A32" s="207"/>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208"/>
    </row>
    <row r="33" spans="1:46" ht="22.8" x14ac:dyDescent="0.4">
      <c r="A33" s="207"/>
      <c r="B33" s="12"/>
      <c r="C33" s="12"/>
      <c r="D33" s="12"/>
      <c r="E33" s="12"/>
      <c r="F33" s="12"/>
      <c r="G33" s="12"/>
      <c r="H33" s="210"/>
      <c r="I33" s="12"/>
      <c r="J33" s="12"/>
      <c r="K33" s="12"/>
      <c r="L33" s="12"/>
      <c r="M33" s="12"/>
      <c r="N33" s="12"/>
      <c r="O33" s="12"/>
      <c r="P33" s="12"/>
      <c r="Q33" s="12"/>
      <c r="R33" s="12"/>
      <c r="S33" s="12"/>
      <c r="T33" s="12"/>
      <c r="U33" s="12"/>
      <c r="V33" s="12"/>
      <c r="W33" s="12"/>
      <c r="X33" s="12"/>
      <c r="Y33" s="12"/>
      <c r="AA33" s="12"/>
      <c r="AB33" s="12"/>
      <c r="AC33" s="12"/>
      <c r="AD33" s="12"/>
      <c r="AE33" s="12"/>
      <c r="AF33" s="12"/>
      <c r="AG33" s="12"/>
      <c r="AH33" s="12"/>
      <c r="AI33" s="12"/>
      <c r="AJ33" s="12"/>
      <c r="AK33" s="12"/>
      <c r="AL33" s="12"/>
      <c r="AM33" s="12"/>
      <c r="AN33" s="12"/>
      <c r="AO33" s="12"/>
      <c r="AP33" s="12"/>
      <c r="AQ33" s="12"/>
      <c r="AR33" s="12"/>
      <c r="AS33" s="12"/>
      <c r="AT33" s="208"/>
    </row>
    <row r="34" spans="1:46" ht="22.8" x14ac:dyDescent="0.4">
      <c r="A34" s="207"/>
      <c r="B34" s="12"/>
      <c r="C34" s="12"/>
      <c r="D34" s="12"/>
      <c r="E34" s="12"/>
      <c r="F34" s="12"/>
      <c r="G34" s="12"/>
      <c r="H34" s="47"/>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208"/>
    </row>
    <row r="35" spans="1:46" ht="22.8" x14ac:dyDescent="0.4">
      <c r="A35" s="207"/>
      <c r="B35" s="12"/>
      <c r="C35" s="12"/>
      <c r="D35" s="12"/>
      <c r="E35" s="12"/>
      <c r="F35" s="12"/>
      <c r="G35" s="12"/>
      <c r="H35" s="47"/>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208"/>
    </row>
    <row r="36" spans="1:46" ht="22.8" x14ac:dyDescent="0.4">
      <c r="A36" s="207"/>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208"/>
    </row>
    <row r="37" spans="1:46" ht="22.8" x14ac:dyDescent="0.4">
      <c r="A37" s="212"/>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0997-2FB8-4144-93ED-40477C9CED27}">
  <sheetPr codeName="Sheet4">
    <tabColor theme="4" tint="0.39997558519241921"/>
  </sheetPr>
  <dimension ref="A1:W92"/>
  <sheetViews>
    <sheetView showGridLines="0" zoomScale="55" zoomScaleNormal="55" workbookViewId="0">
      <pane ySplit="1" topLeftCell="A2" activePane="bottomLeft" state="frozen"/>
      <selection pane="bottomLeft"/>
    </sheetView>
  </sheetViews>
  <sheetFormatPr defaultColWidth="8.6640625" defaultRowHeight="22.8" x14ac:dyDescent="0.4"/>
  <cols>
    <col min="1" max="1" width="64.33203125" style="16" customWidth="1"/>
    <col min="2" max="2" width="27.33203125" style="16" customWidth="1"/>
    <col min="3" max="4" width="33.6640625" style="18" customWidth="1"/>
    <col min="5" max="13" width="31.109375" style="18" customWidth="1"/>
    <col min="14" max="14" width="33" style="18" customWidth="1"/>
    <col min="15" max="22" width="20.6640625" style="18" customWidth="1"/>
    <col min="23" max="16384" width="8.6640625" style="16"/>
  </cols>
  <sheetData>
    <row r="1" spans="1:22" s="1" customFormat="1" ht="68.25" customHeight="1" x14ac:dyDescent="0.4">
      <c r="A1" s="147" t="s">
        <v>52</v>
      </c>
      <c r="C1" s="2"/>
      <c r="D1"/>
      <c r="E1"/>
      <c r="G1"/>
      <c r="H1" s="197"/>
      <c r="I1" s="68"/>
      <c r="J1" s="68"/>
      <c r="K1" s="68"/>
      <c r="N1" s="2"/>
      <c r="O1" s="2"/>
      <c r="P1" s="2"/>
      <c r="Q1" s="2"/>
      <c r="R1" s="2"/>
      <c r="S1" s="2"/>
      <c r="T1" s="2"/>
      <c r="U1" s="2"/>
      <c r="V1" s="2"/>
    </row>
    <row r="2" spans="1:22" s="1" customFormat="1" ht="0.6" customHeight="1" x14ac:dyDescent="0.4">
      <c r="A2" s="147"/>
      <c r="C2" s="2"/>
      <c r="D2"/>
      <c r="E2"/>
      <c r="G2"/>
      <c r="H2" s="197"/>
      <c r="I2" s="68"/>
      <c r="J2" s="68"/>
      <c r="K2" s="68"/>
      <c r="N2" s="2"/>
      <c r="O2" s="2"/>
      <c r="P2" s="2"/>
      <c r="Q2" s="2"/>
      <c r="R2" s="2"/>
      <c r="S2" s="2"/>
      <c r="T2" s="2"/>
      <c r="U2" s="2"/>
      <c r="V2" s="2"/>
    </row>
    <row r="3" spans="1:22" ht="31.95" customHeight="1" x14ac:dyDescent="0.4">
      <c r="A3" s="393" t="s">
        <v>337</v>
      </c>
      <c r="B3" s="394"/>
      <c r="C3" s="365"/>
      <c r="D3" s="198"/>
      <c r="E3" s="151"/>
      <c r="K3" s="199"/>
      <c r="L3" s="199"/>
    </row>
    <row r="4" spans="1:22" ht="57.6" customHeight="1" x14ac:dyDescent="0.4">
      <c r="A4" s="395"/>
      <c r="B4" s="396"/>
      <c r="C4" s="366"/>
      <c r="D4" s="148"/>
      <c r="H4" s="353"/>
      <c r="I4" s="353"/>
      <c r="J4" s="199"/>
      <c r="U4" s="16"/>
      <c r="V4" s="16"/>
    </row>
    <row r="5" spans="1:22" ht="40.200000000000003" customHeight="1" x14ac:dyDescent="0.4">
      <c r="A5" s="151" t="s">
        <v>160</v>
      </c>
      <c r="B5" s="18"/>
      <c r="C5" s="148"/>
      <c r="D5" s="148"/>
      <c r="H5" s="353"/>
      <c r="I5" s="353"/>
      <c r="J5" s="199"/>
      <c r="U5" s="16"/>
      <c r="V5" s="16"/>
    </row>
    <row r="6" spans="1:22" ht="27" customHeight="1" x14ac:dyDescent="0.4">
      <c r="A6" s="380" t="s">
        <v>298</v>
      </c>
      <c r="B6" s="381" t="s">
        <v>297</v>
      </c>
      <c r="C6" s="148"/>
      <c r="D6" s="148"/>
      <c r="H6" s="353"/>
      <c r="I6" s="353"/>
      <c r="J6" s="199"/>
      <c r="U6" s="16"/>
      <c r="V6" s="16"/>
    </row>
    <row r="7" spans="1:22" ht="27" customHeight="1" x14ac:dyDescent="0.4">
      <c r="A7" s="379" t="s">
        <v>13</v>
      </c>
      <c r="B7" s="354" t="s">
        <v>148</v>
      </c>
      <c r="C7" s="148"/>
      <c r="D7" s="148"/>
      <c r="H7" s="353"/>
      <c r="I7" s="353"/>
      <c r="J7" s="199"/>
      <c r="U7" s="16"/>
      <c r="V7" s="16"/>
    </row>
    <row r="8" spans="1:22" ht="27" customHeight="1" x14ac:dyDescent="0.4">
      <c r="A8" s="379" t="s">
        <v>49</v>
      </c>
      <c r="B8" s="356"/>
      <c r="C8" s="363" t="s">
        <v>338</v>
      </c>
      <c r="D8" s="364"/>
      <c r="E8" s="364"/>
      <c r="H8" s="353"/>
      <c r="I8" s="353"/>
      <c r="J8" s="199"/>
      <c r="U8" s="16"/>
      <c r="V8" s="16"/>
    </row>
    <row r="9" spans="1:22" ht="27" customHeight="1" x14ac:dyDescent="0.4">
      <c r="A9" s="379" t="s">
        <v>40</v>
      </c>
      <c r="B9" s="355" t="s">
        <v>159</v>
      </c>
      <c r="C9" s="148"/>
      <c r="D9" s="148"/>
      <c r="H9" s="353"/>
      <c r="I9" s="353"/>
      <c r="J9" s="199"/>
      <c r="U9" s="16"/>
      <c r="V9" s="16"/>
    </row>
    <row r="10" spans="1:22" ht="27" customHeight="1" x14ac:dyDescent="0.4">
      <c r="A10" s="382" t="s">
        <v>68</v>
      </c>
      <c r="B10" s="383" t="s">
        <v>158</v>
      </c>
      <c r="C10" s="148"/>
      <c r="D10" s="148"/>
      <c r="H10" s="353"/>
      <c r="I10" s="353"/>
      <c r="J10" s="199"/>
      <c r="U10" s="16"/>
      <c r="V10" s="16"/>
    </row>
    <row r="11" spans="1:22" ht="60" customHeight="1" x14ac:dyDescent="0.4">
      <c r="A11" s="358" t="s">
        <v>339</v>
      </c>
      <c r="B11" s="359" t="s">
        <v>340</v>
      </c>
      <c r="H11" s="353"/>
      <c r="I11" s="353"/>
      <c r="J11" s="199"/>
      <c r="U11" s="16"/>
      <c r="V11" s="16"/>
    </row>
    <row r="12" spans="1:22" ht="30" customHeight="1" x14ac:dyDescent="0.4">
      <c r="A12" s="360" t="s">
        <v>156</v>
      </c>
      <c r="B12" s="361"/>
      <c r="C12" s="128"/>
      <c r="H12" s="353"/>
      <c r="I12" s="353"/>
      <c r="U12" s="16"/>
      <c r="V12" s="16"/>
    </row>
    <row r="13" spans="1:22" s="1" customFormat="1" ht="30" customHeight="1" x14ac:dyDescent="0.4">
      <c r="A13" s="360" t="s">
        <v>157</v>
      </c>
      <c r="B13" s="362">
        <v>1</v>
      </c>
      <c r="C13" s="2"/>
      <c r="D13" s="2"/>
      <c r="E13" s="2"/>
      <c r="F13" s="156"/>
      <c r="G13" s="8"/>
      <c r="H13" s="353"/>
      <c r="I13" s="353"/>
      <c r="J13" s="2"/>
      <c r="K13" s="2"/>
      <c r="L13" s="2"/>
      <c r="M13" s="2"/>
      <c r="N13" s="2"/>
      <c r="O13" s="2"/>
      <c r="P13" s="2"/>
      <c r="Q13" s="2"/>
      <c r="R13" s="2"/>
      <c r="S13" s="2"/>
      <c r="T13" s="2"/>
    </row>
    <row r="14" spans="1:22" s="1" customFormat="1" ht="86.4" customHeight="1" x14ac:dyDescent="0.5">
      <c r="A14" s="155" t="s">
        <v>341</v>
      </c>
      <c r="C14" s="2"/>
      <c r="D14" s="2"/>
      <c r="E14" s="2"/>
      <c r="F14" s="2"/>
      <c r="G14" s="2"/>
      <c r="H14" s="156"/>
      <c r="I14" s="8"/>
      <c r="J14" s="339"/>
      <c r="K14" s="339"/>
      <c r="L14" s="339"/>
      <c r="M14" s="339"/>
      <c r="N14" s="2"/>
      <c r="O14" s="2"/>
      <c r="P14" s="2"/>
      <c r="Q14" s="2"/>
      <c r="R14" s="2"/>
      <c r="S14" s="2"/>
      <c r="T14" s="2"/>
      <c r="U14" s="2"/>
      <c r="V14" s="2"/>
    </row>
    <row r="15" spans="1:22" s="1" customFormat="1" ht="23.7" customHeight="1" x14ac:dyDescent="0.4">
      <c r="A15" s="48" t="s">
        <v>342</v>
      </c>
      <c r="C15" s="2"/>
      <c r="D15" s="2"/>
      <c r="E15" s="2"/>
      <c r="F15" s="2"/>
      <c r="G15" s="2"/>
      <c r="H15" s="7"/>
      <c r="I15" s="8"/>
      <c r="J15" s="2"/>
      <c r="K15" s="2"/>
      <c r="L15" s="2"/>
      <c r="M15" s="2"/>
      <c r="N15" s="2"/>
      <c r="O15" s="2"/>
      <c r="P15" s="2"/>
      <c r="Q15" s="2"/>
      <c r="R15" s="2"/>
      <c r="S15" s="2"/>
      <c r="T15" s="2"/>
      <c r="U15" s="2"/>
      <c r="V15" s="2"/>
    </row>
    <row r="16" spans="1:22" s="5" customFormat="1" ht="30" x14ac:dyDescent="0.5">
      <c r="A16" s="96" t="s">
        <v>161</v>
      </c>
      <c r="B16" s="4"/>
      <c r="C16" s="6"/>
      <c r="D16" s="6"/>
      <c r="E16" s="6"/>
      <c r="F16" s="6"/>
      <c r="G16" s="6"/>
      <c r="H16" s="6"/>
      <c r="I16" s="6"/>
      <c r="J16" s="6"/>
      <c r="K16" s="6"/>
      <c r="L16" s="6"/>
      <c r="M16" s="6"/>
      <c r="N16" s="6"/>
      <c r="O16" s="6"/>
      <c r="P16" s="6"/>
      <c r="Q16" s="6"/>
      <c r="R16" s="6"/>
      <c r="S16" s="6"/>
      <c r="T16" s="6"/>
      <c r="U16" s="6"/>
      <c r="V16" s="6"/>
    </row>
    <row r="17" spans="1:22" x14ac:dyDescent="0.4">
      <c r="A17" s="48" t="s">
        <v>342</v>
      </c>
      <c r="B17" s="17"/>
    </row>
    <row r="18" spans="1:22" ht="24.6" x14ac:dyDescent="0.4">
      <c r="A18" s="98" t="s">
        <v>6</v>
      </c>
      <c r="B18" s="99" t="s">
        <v>117</v>
      </c>
      <c r="C18" s="99" t="s">
        <v>299</v>
      </c>
      <c r="D18" s="19"/>
      <c r="V18" s="16"/>
    </row>
    <row r="19" spans="1:22" x14ac:dyDescent="0.4">
      <c r="A19" s="25" t="s">
        <v>343</v>
      </c>
      <c r="B19" s="74">
        <v>150000</v>
      </c>
      <c r="C19" s="75"/>
      <c r="D19" s="28"/>
      <c r="V19" s="16"/>
    </row>
    <row r="20" spans="1:22" x14ac:dyDescent="0.4">
      <c r="A20" s="26" t="s">
        <v>344</v>
      </c>
      <c r="B20" s="376">
        <f>IF(C19&gt;0,C19,SUM(B21:B23))</f>
        <v>1150000</v>
      </c>
      <c r="C20" s="374"/>
      <c r="V20" s="16"/>
    </row>
    <row r="21" spans="1:22" x14ac:dyDescent="0.4">
      <c r="A21" s="27" t="s">
        <v>345</v>
      </c>
      <c r="B21" s="75">
        <v>50000</v>
      </c>
      <c r="C21" s="374"/>
      <c r="D21" s="19"/>
      <c r="V21" s="16"/>
    </row>
    <row r="22" spans="1:22" x14ac:dyDescent="0.4">
      <c r="A22" s="27" t="s">
        <v>346</v>
      </c>
      <c r="B22" s="75">
        <v>900000</v>
      </c>
      <c r="C22" s="374"/>
      <c r="D22" s="19"/>
      <c r="V22" s="16"/>
    </row>
    <row r="23" spans="1:22" x14ac:dyDescent="0.4">
      <c r="A23" s="27" t="s">
        <v>347</v>
      </c>
      <c r="B23" s="75">
        <v>200000</v>
      </c>
      <c r="C23" s="374"/>
      <c r="D23" s="19"/>
      <c r="V23" s="16"/>
    </row>
    <row r="24" spans="1:22" ht="42" customHeight="1" x14ac:dyDescent="0.4">
      <c r="A24" s="367" t="s">
        <v>342</v>
      </c>
      <c r="B24" s="368"/>
      <c r="C24" s="19"/>
      <c r="D24" s="19"/>
      <c r="V24" s="16"/>
    </row>
    <row r="25" spans="1:22" ht="68.400000000000006" x14ac:dyDescent="0.4">
      <c r="A25" s="100" t="s">
        <v>107</v>
      </c>
      <c r="B25" s="369" t="s">
        <v>320</v>
      </c>
      <c r="C25" s="369" t="s">
        <v>321</v>
      </c>
      <c r="D25" s="369" t="s">
        <v>322</v>
      </c>
      <c r="V25" s="16"/>
    </row>
    <row r="26" spans="1:22" ht="45.6" x14ac:dyDescent="0.4">
      <c r="A26" s="131" t="s">
        <v>162</v>
      </c>
      <c r="B26" s="76">
        <v>0.5</v>
      </c>
      <c r="C26" s="76">
        <v>0.25</v>
      </c>
      <c r="D26" s="76">
        <v>0.25</v>
      </c>
      <c r="E26" s="39" t="s">
        <v>163</v>
      </c>
      <c r="V26" s="16"/>
    </row>
    <row r="27" spans="1:22" x14ac:dyDescent="0.4">
      <c r="A27" s="367" t="s">
        <v>342</v>
      </c>
      <c r="B27" s="370"/>
      <c r="C27" s="370"/>
      <c r="D27" s="370"/>
      <c r="V27" s="16"/>
    </row>
    <row r="28" spans="1:22" x14ac:dyDescent="0.4">
      <c r="A28" s="128" t="s">
        <v>342</v>
      </c>
      <c r="B28" s="370"/>
      <c r="C28" s="370"/>
      <c r="D28" s="370"/>
      <c r="V28" s="16"/>
    </row>
    <row r="29" spans="1:22" s="5" customFormat="1" ht="30" x14ac:dyDescent="0.5">
      <c r="A29" s="96" t="s">
        <v>36</v>
      </c>
      <c r="B29" s="6"/>
      <c r="C29" s="6"/>
      <c r="D29" s="6"/>
      <c r="E29" s="6"/>
      <c r="F29" s="6"/>
      <c r="G29" s="6"/>
      <c r="H29" s="6"/>
      <c r="I29" s="6"/>
      <c r="J29" s="6"/>
      <c r="K29" s="6"/>
      <c r="L29" s="6"/>
      <c r="M29" s="6"/>
      <c r="N29" s="6"/>
      <c r="O29" s="6"/>
      <c r="P29" s="6"/>
      <c r="Q29" s="6"/>
      <c r="R29" s="6"/>
      <c r="S29" s="6"/>
      <c r="T29" s="6"/>
      <c r="U29" s="6"/>
    </row>
    <row r="30" spans="1:22" s="18" customFormat="1" hidden="1" x14ac:dyDescent="0.4">
      <c r="A30" s="16"/>
      <c r="B30" s="19"/>
    </row>
    <row r="31" spans="1:22" s="18" customFormat="1" ht="24.6" x14ac:dyDescent="0.4">
      <c r="A31" s="98" t="s">
        <v>39</v>
      </c>
    </row>
    <row r="32" spans="1:22" x14ac:dyDescent="0.4">
      <c r="A32" s="244" t="s">
        <v>149</v>
      </c>
      <c r="B32" s="245" t="s">
        <v>38</v>
      </c>
      <c r="C32" s="246" t="s">
        <v>150</v>
      </c>
      <c r="V32" s="16"/>
    </row>
    <row r="33" spans="1:22" x14ac:dyDescent="0.4">
      <c r="A33" s="247">
        <v>0.8</v>
      </c>
      <c r="B33" s="248">
        <v>1</v>
      </c>
      <c r="C33" s="249">
        <v>1.3</v>
      </c>
      <c r="D33" s="37" t="s">
        <v>59</v>
      </c>
      <c r="E33" s="16"/>
      <c r="F33" s="16"/>
      <c r="G33" s="16"/>
      <c r="V33" s="16"/>
    </row>
    <row r="34" spans="1:22" x14ac:dyDescent="0.4">
      <c r="A34" s="48" t="s">
        <v>342</v>
      </c>
      <c r="C34" s="30"/>
      <c r="D34" s="371"/>
      <c r="E34" s="30"/>
      <c r="F34" s="371"/>
      <c r="G34" s="37"/>
      <c r="V34" s="16"/>
    </row>
    <row r="35" spans="1:22" ht="25.2" thickBot="1" x14ac:dyDescent="0.45">
      <c r="A35" s="256" t="s">
        <v>301</v>
      </c>
      <c r="C35" s="30"/>
      <c r="D35" s="371"/>
      <c r="E35" s="30"/>
      <c r="F35" s="371"/>
      <c r="G35" s="37"/>
      <c r="V35" s="16"/>
    </row>
    <row r="36" spans="1:22" x14ac:dyDescent="0.4">
      <c r="A36" s="257" t="s">
        <v>38</v>
      </c>
      <c r="C36" s="30"/>
      <c r="D36" s="371"/>
      <c r="E36" s="30"/>
      <c r="F36" s="371"/>
      <c r="G36" s="37"/>
      <c r="V36" s="16"/>
    </row>
    <row r="37" spans="1:22" x14ac:dyDescent="0.4">
      <c r="A37" s="140" t="s">
        <v>342</v>
      </c>
      <c r="C37" s="30"/>
      <c r="G37" s="37"/>
      <c r="V37" s="16"/>
    </row>
    <row r="38" spans="1:22" s="18" customFormat="1" ht="24.6" x14ac:dyDescent="0.4">
      <c r="A38" s="98" t="s">
        <v>48</v>
      </c>
      <c r="B38" s="98" t="s">
        <v>210</v>
      </c>
    </row>
    <row r="39" spans="1:22" s="18" customFormat="1" ht="68.400000000000006" x14ac:dyDescent="0.4">
      <c r="A39" s="250" t="s">
        <v>239</v>
      </c>
      <c r="B39" s="243">
        <v>1</v>
      </c>
      <c r="C39" s="37" t="s">
        <v>238</v>
      </c>
    </row>
    <row r="40" spans="1:22" s="18" customFormat="1" x14ac:dyDescent="0.4">
      <c r="A40" s="140" t="s">
        <v>342</v>
      </c>
      <c r="B40" s="370"/>
      <c r="C40" s="37"/>
    </row>
    <row r="41" spans="1:22" s="18" customFormat="1" ht="24.6" x14ac:dyDescent="0.4">
      <c r="A41" s="100" t="s">
        <v>240</v>
      </c>
      <c r="B41" s="102" t="s">
        <v>147</v>
      </c>
      <c r="C41" s="37"/>
    </row>
    <row r="42" spans="1:22" s="18" customFormat="1" x14ac:dyDescent="0.4">
      <c r="A42" s="38" t="str">
        <f>IF(B39=1, "Average Price per kWh *", "Price per kWh - Peak Hours *")</f>
        <v>Average Price per kWh *</v>
      </c>
      <c r="B42" s="77">
        <v>0.36</v>
      </c>
      <c r="C42" s="37"/>
    </row>
    <row r="43" spans="1:22" s="18" customFormat="1" x14ac:dyDescent="0.4">
      <c r="A43" s="250" t="s">
        <v>151</v>
      </c>
      <c r="B43" s="251">
        <v>0</v>
      </c>
    </row>
    <row r="44" spans="1:22" s="18" customFormat="1" x14ac:dyDescent="0.4">
      <c r="A44" s="140" t="s">
        <v>342</v>
      </c>
      <c r="B44" s="19"/>
    </row>
    <row r="45" spans="1:22" s="5" customFormat="1" ht="30" x14ac:dyDescent="0.5">
      <c r="A45" s="96" t="s">
        <v>81</v>
      </c>
      <c r="B45" s="6"/>
      <c r="C45" s="6"/>
      <c r="D45" s="6"/>
      <c r="E45" s="6"/>
      <c r="F45" s="6"/>
      <c r="G45" s="6"/>
      <c r="H45" s="6"/>
      <c r="I45" s="6"/>
      <c r="J45" s="6"/>
      <c r="K45" s="6"/>
      <c r="L45" s="6"/>
      <c r="M45" s="6"/>
      <c r="N45" s="6"/>
      <c r="O45" s="6"/>
      <c r="P45" s="6"/>
      <c r="Q45" s="6"/>
      <c r="R45" s="6"/>
      <c r="S45" s="6"/>
      <c r="T45" s="6"/>
      <c r="U45" s="6"/>
    </row>
    <row r="46" spans="1:22" s="18" customFormat="1" x14ac:dyDescent="0.4">
      <c r="A46" s="140" t="s">
        <v>342</v>
      </c>
      <c r="B46" s="19"/>
    </row>
    <row r="47" spans="1:22" s="18" customFormat="1" ht="53.25" customHeight="1" x14ac:dyDescent="0.4">
      <c r="A47" s="100" t="s">
        <v>72</v>
      </c>
      <c r="B47" s="100" t="s">
        <v>147</v>
      </c>
      <c r="C47" s="255" t="s">
        <v>365</v>
      </c>
    </row>
    <row r="48" spans="1:22" s="18" customFormat="1" ht="45.6" x14ac:dyDescent="0.4">
      <c r="A48" s="38" t="s">
        <v>152</v>
      </c>
      <c r="B48" s="78">
        <v>0.5</v>
      </c>
      <c r="C48" s="372" t="s">
        <v>300</v>
      </c>
    </row>
    <row r="49" spans="1:23" s="18" customFormat="1" x14ac:dyDescent="0.4">
      <c r="A49" s="38" t="s">
        <v>153</v>
      </c>
      <c r="B49" s="76">
        <v>0.18</v>
      </c>
      <c r="C49" s="373" t="s">
        <v>300</v>
      </c>
      <c r="D49" s="62" t="str">
        <f>_xlfn.CONCAT("*Number of hours a port is occupied per day = ",B48*B53, ". For more information on occupancy per port, see Reference Material tab.")</f>
        <v>*Number of hours a port is occupied per day = 4.32. For more information on occupancy per port, see Reference Material tab.</v>
      </c>
    </row>
    <row r="50" spans="1:23" s="18" customFormat="1" x14ac:dyDescent="0.4">
      <c r="A50" s="38" t="s">
        <v>154</v>
      </c>
      <c r="B50" s="78">
        <v>4</v>
      </c>
      <c r="C50" s="374" t="s">
        <v>300</v>
      </c>
    </row>
    <row r="51" spans="1:23" s="18" customFormat="1" ht="51" customHeight="1" thickBot="1" x14ac:dyDescent="0.45">
      <c r="A51" s="122" t="s">
        <v>207</v>
      </c>
      <c r="B51" s="224">
        <v>0.05</v>
      </c>
      <c r="C51" s="374" t="s">
        <v>300</v>
      </c>
      <c r="D51" s="39" t="s">
        <v>136</v>
      </c>
    </row>
    <row r="52" spans="1:23" s="18" customFormat="1" ht="45.6" x14ac:dyDescent="0.4">
      <c r="A52" s="51" t="s">
        <v>206</v>
      </c>
      <c r="B52" s="66">
        <f>24/B48</f>
        <v>48</v>
      </c>
      <c r="C52" s="372" t="s">
        <v>300</v>
      </c>
      <c r="D52" s="39" t="s">
        <v>214</v>
      </c>
    </row>
    <row r="53" spans="1:23" s="18" customFormat="1" x14ac:dyDescent="0.4">
      <c r="A53" s="35" t="s">
        <v>130</v>
      </c>
      <c r="B53" s="67">
        <f>B52*B49</f>
        <v>8.64</v>
      </c>
      <c r="C53" s="373" t="s">
        <v>300</v>
      </c>
      <c r="D53" s="39" t="s">
        <v>145</v>
      </c>
    </row>
    <row r="54" spans="1:23" s="18" customFormat="1" x14ac:dyDescent="0.4">
      <c r="A54" s="35" t="s">
        <v>74</v>
      </c>
      <c r="B54" s="67">
        <f>B53*B50</f>
        <v>34.56</v>
      </c>
      <c r="C54" s="374" t="s">
        <v>300</v>
      </c>
      <c r="D54" s="39" t="s">
        <v>146</v>
      </c>
    </row>
    <row r="55" spans="1:23" s="18" customFormat="1" x14ac:dyDescent="0.4">
      <c r="A55" s="252" t="s">
        <v>71</v>
      </c>
      <c r="B55" s="253">
        <f>B54*365</f>
        <v>12614.400000000001</v>
      </c>
      <c r="C55" s="254"/>
      <c r="D55" s="52" t="s">
        <v>164</v>
      </c>
      <c r="E55" s="52"/>
      <c r="F55" s="52"/>
      <c r="G55" s="52"/>
      <c r="H55" s="52"/>
      <c r="I55" s="52"/>
      <c r="J55" s="52"/>
    </row>
    <row r="56" spans="1:23" s="18" customFormat="1" ht="76.5" customHeight="1" x14ac:dyDescent="0.4">
      <c r="A56" s="225" t="s">
        <v>294</v>
      </c>
      <c r="B56" s="55"/>
      <c r="C56" s="56"/>
      <c r="D56" s="52"/>
      <c r="E56" s="52"/>
      <c r="F56" s="52"/>
      <c r="G56" s="52"/>
      <c r="H56" s="52"/>
      <c r="I56" s="52"/>
      <c r="J56" s="52"/>
    </row>
    <row r="57" spans="1:23" s="5" customFormat="1" ht="30" x14ac:dyDescent="0.5">
      <c r="A57" s="96" t="s">
        <v>197</v>
      </c>
      <c r="B57" s="9"/>
      <c r="C57" s="9"/>
      <c r="D57" s="9"/>
      <c r="E57" s="9"/>
      <c r="F57" s="9"/>
      <c r="G57" s="9"/>
      <c r="H57" s="9"/>
      <c r="I57" s="9"/>
      <c r="J57" s="9"/>
      <c r="K57" s="9"/>
      <c r="L57" s="9"/>
      <c r="M57" s="9"/>
      <c r="N57" s="9"/>
      <c r="O57" s="9"/>
      <c r="P57" s="9"/>
      <c r="Q57" s="9"/>
      <c r="R57" s="9"/>
      <c r="S57" s="9"/>
      <c r="T57" s="9"/>
      <c r="U57" s="9"/>
      <c r="V57" s="9"/>
      <c r="W57" s="9"/>
    </row>
    <row r="58" spans="1:23" s="1" customFormat="1" x14ac:dyDescent="0.4">
      <c r="A58" s="140" t="s">
        <v>342</v>
      </c>
      <c r="B58" s="3"/>
      <c r="C58" s="3"/>
      <c r="D58" s="3"/>
      <c r="E58" s="3"/>
      <c r="F58" s="3"/>
      <c r="G58" s="3"/>
      <c r="H58" s="3"/>
      <c r="I58" s="3"/>
      <c r="J58" s="3"/>
      <c r="K58" s="3"/>
      <c r="L58" s="3"/>
      <c r="M58" s="3"/>
      <c r="N58" s="3"/>
      <c r="O58" s="3"/>
      <c r="P58" s="3"/>
      <c r="Q58" s="3"/>
      <c r="R58" s="3"/>
      <c r="S58" s="3"/>
      <c r="T58" s="3"/>
      <c r="U58" s="3"/>
      <c r="V58" s="3"/>
      <c r="W58" s="3"/>
    </row>
    <row r="59" spans="1:23" ht="24.6" x14ac:dyDescent="0.4">
      <c r="A59" s="103" t="s">
        <v>189</v>
      </c>
      <c r="B59" s="98" t="s">
        <v>147</v>
      </c>
      <c r="C59" s="19"/>
      <c r="D59" s="19"/>
      <c r="E59" s="19"/>
      <c r="F59" s="101"/>
      <c r="G59" s="19"/>
      <c r="H59" s="19"/>
      <c r="I59" s="19"/>
      <c r="J59" s="19"/>
      <c r="K59" s="19"/>
      <c r="L59" s="19"/>
      <c r="M59" s="19"/>
      <c r="N59" s="19"/>
      <c r="O59" s="19"/>
      <c r="P59" s="19"/>
      <c r="Q59" s="19"/>
      <c r="R59" s="19"/>
      <c r="S59" s="19"/>
      <c r="T59" s="19"/>
      <c r="U59" s="19"/>
      <c r="V59" s="19"/>
    </row>
    <row r="60" spans="1:23" x14ac:dyDescent="0.4">
      <c r="A60" s="25" t="s">
        <v>119</v>
      </c>
      <c r="B60" s="79">
        <v>0.1</v>
      </c>
      <c r="C60" s="397" t="s">
        <v>123</v>
      </c>
      <c r="D60" s="398"/>
      <c r="E60" s="398"/>
      <c r="H60" s="19"/>
      <c r="I60" s="19"/>
      <c r="J60" s="19"/>
      <c r="K60" s="19"/>
      <c r="L60" s="19"/>
      <c r="M60" s="19"/>
      <c r="N60" s="19"/>
      <c r="O60" s="19"/>
      <c r="P60" s="19"/>
      <c r="Q60" s="19"/>
      <c r="R60" s="19"/>
      <c r="S60" s="19"/>
      <c r="T60" s="19"/>
      <c r="U60" s="19"/>
      <c r="V60" s="19"/>
    </row>
    <row r="61" spans="1:23" x14ac:dyDescent="0.4">
      <c r="A61" s="25" t="s">
        <v>120</v>
      </c>
      <c r="B61" s="79">
        <v>0.1</v>
      </c>
      <c r="C61" s="49"/>
      <c r="D61" s="19"/>
      <c r="E61" s="19"/>
      <c r="H61" s="19"/>
      <c r="I61" s="19"/>
      <c r="J61" s="19"/>
      <c r="K61" s="19"/>
      <c r="L61" s="19"/>
      <c r="M61" s="19"/>
      <c r="N61" s="19"/>
      <c r="O61" s="19"/>
      <c r="P61" s="19"/>
      <c r="Q61" s="19"/>
      <c r="R61" s="19"/>
      <c r="S61" s="19"/>
      <c r="T61" s="19"/>
      <c r="U61" s="19"/>
      <c r="V61" s="19"/>
    </row>
    <row r="62" spans="1:23" x14ac:dyDescent="0.4">
      <c r="A62" s="258" t="s">
        <v>196</v>
      </c>
      <c r="B62" s="259">
        <v>0.1</v>
      </c>
      <c r="C62" s="49"/>
      <c r="D62" s="19"/>
      <c r="E62" s="19"/>
      <c r="F62" s="19"/>
      <c r="G62" s="89"/>
      <c r="H62" s="19"/>
      <c r="I62" s="19"/>
      <c r="J62" s="19"/>
      <c r="K62" s="19"/>
      <c r="L62" s="19"/>
      <c r="M62" s="19"/>
      <c r="N62" s="19"/>
      <c r="O62" s="19"/>
      <c r="P62" s="19"/>
      <c r="Q62" s="19"/>
      <c r="R62" s="19"/>
      <c r="S62" s="19"/>
      <c r="T62" s="19"/>
      <c r="U62" s="19"/>
      <c r="V62" s="19"/>
    </row>
    <row r="63" spans="1:23" x14ac:dyDescent="0.4">
      <c r="A63" s="39" t="s">
        <v>296</v>
      </c>
      <c r="C63" s="19"/>
      <c r="D63" s="19"/>
      <c r="E63" s="19"/>
      <c r="F63" s="19"/>
      <c r="G63" s="19"/>
      <c r="H63" s="19"/>
      <c r="I63" s="19"/>
      <c r="J63" s="19"/>
      <c r="K63" s="19"/>
      <c r="L63" s="19"/>
      <c r="M63" s="19"/>
      <c r="N63" s="19"/>
      <c r="O63" s="19"/>
      <c r="P63" s="19"/>
      <c r="Q63" s="19"/>
      <c r="R63" s="19"/>
      <c r="S63" s="19"/>
      <c r="T63" s="19"/>
      <c r="U63" s="19"/>
      <c r="V63" s="19"/>
    </row>
    <row r="64" spans="1:23" x14ac:dyDescent="0.4">
      <c r="A64" s="48" t="s">
        <v>342</v>
      </c>
      <c r="C64" s="19"/>
      <c r="D64" s="19"/>
      <c r="E64" s="19"/>
      <c r="F64" s="19"/>
      <c r="G64" s="19"/>
      <c r="H64" s="19"/>
      <c r="I64" s="19"/>
      <c r="J64" s="19"/>
      <c r="K64" s="19"/>
      <c r="L64" s="19"/>
      <c r="M64" s="19"/>
      <c r="N64" s="19"/>
      <c r="O64" s="19"/>
      <c r="P64" s="19"/>
      <c r="Q64" s="19"/>
      <c r="R64" s="19"/>
      <c r="S64" s="19"/>
      <c r="T64" s="19"/>
      <c r="U64" s="19"/>
      <c r="V64" s="19"/>
    </row>
    <row r="65" spans="1:23" ht="25.2" thickBot="1" x14ac:dyDescent="0.45">
      <c r="A65" s="103" t="s">
        <v>302</v>
      </c>
      <c r="B65" s="24" t="s">
        <v>210</v>
      </c>
      <c r="C65" s="19"/>
      <c r="D65" s="19"/>
      <c r="E65" s="19"/>
      <c r="F65" s="19"/>
      <c r="G65" s="19"/>
      <c r="H65" s="19"/>
      <c r="I65" s="19"/>
      <c r="J65" s="19"/>
      <c r="K65" s="19"/>
      <c r="L65" s="19"/>
      <c r="M65" s="19"/>
      <c r="N65" s="19"/>
      <c r="O65" s="19"/>
      <c r="P65" s="19"/>
      <c r="Q65" s="19"/>
      <c r="R65" s="19"/>
      <c r="S65" s="19"/>
      <c r="T65" s="19"/>
      <c r="U65" s="19"/>
      <c r="V65" s="19"/>
    </row>
    <row r="66" spans="1:23" ht="23.4" thickBot="1" x14ac:dyDescent="0.45">
      <c r="A66" s="87" t="s">
        <v>119</v>
      </c>
      <c r="B66" s="90">
        <f>VLOOKUP(A66,$A$60:$B$62,2,FALSE)</f>
        <v>0.1</v>
      </c>
      <c r="C66" s="19"/>
      <c r="D66" s="19"/>
      <c r="E66" s="19"/>
      <c r="F66" s="19"/>
      <c r="G66" s="19"/>
      <c r="H66" s="19"/>
      <c r="I66" s="19"/>
      <c r="J66" s="19"/>
      <c r="K66" s="19"/>
      <c r="L66" s="19"/>
      <c r="M66" s="19"/>
      <c r="N66" s="19"/>
      <c r="O66" s="19"/>
      <c r="P66" s="19"/>
      <c r="Q66" s="19"/>
      <c r="R66" s="19"/>
      <c r="S66" s="19"/>
      <c r="T66" s="19"/>
      <c r="U66" s="19"/>
      <c r="V66" s="19"/>
    </row>
    <row r="67" spans="1:23" x14ac:dyDescent="0.4">
      <c r="A67" s="48" t="s">
        <v>342</v>
      </c>
      <c r="C67" s="19"/>
      <c r="D67" s="19"/>
      <c r="E67" s="19"/>
      <c r="F67" s="19"/>
      <c r="G67" s="19"/>
      <c r="H67" s="19"/>
      <c r="I67" s="19"/>
      <c r="J67" s="19"/>
      <c r="K67" s="19"/>
      <c r="L67" s="19"/>
      <c r="M67" s="19"/>
      <c r="N67" s="19"/>
      <c r="O67" s="19"/>
      <c r="P67" s="19"/>
      <c r="Q67" s="19"/>
      <c r="R67" s="19"/>
      <c r="S67" s="19"/>
      <c r="T67" s="19"/>
      <c r="U67" s="19"/>
      <c r="V67" s="19"/>
    </row>
    <row r="68" spans="1:23" x14ac:dyDescent="0.4">
      <c r="A68" s="48" t="s">
        <v>342</v>
      </c>
      <c r="C68" s="19"/>
      <c r="D68" s="19"/>
      <c r="E68" s="19"/>
      <c r="F68" s="19"/>
      <c r="G68" s="19"/>
      <c r="H68" s="19"/>
      <c r="I68" s="19"/>
      <c r="J68" s="19"/>
      <c r="K68" s="19"/>
      <c r="L68" s="19"/>
      <c r="M68" s="19"/>
      <c r="N68" s="19"/>
      <c r="O68" s="19"/>
      <c r="P68" s="19"/>
      <c r="Q68" s="19"/>
      <c r="R68" s="19"/>
      <c r="S68" s="19"/>
      <c r="T68" s="19"/>
      <c r="U68" s="19"/>
      <c r="V68" s="19"/>
    </row>
    <row r="69" spans="1:23" s="5" customFormat="1" ht="30" x14ac:dyDescent="0.5">
      <c r="A69" s="96" t="s">
        <v>124</v>
      </c>
      <c r="B69" s="9"/>
      <c r="C69" s="9"/>
      <c r="D69" s="9"/>
      <c r="E69" s="9"/>
      <c r="F69" s="9"/>
      <c r="G69" s="9"/>
      <c r="H69" s="9"/>
      <c r="I69" s="9"/>
      <c r="J69" s="9"/>
      <c r="K69" s="9"/>
      <c r="L69" s="9"/>
      <c r="M69" s="9"/>
      <c r="N69" s="9"/>
      <c r="O69" s="9"/>
      <c r="P69" s="9"/>
      <c r="Q69" s="9"/>
      <c r="R69" s="9"/>
      <c r="S69" s="9"/>
      <c r="T69" s="9"/>
      <c r="U69" s="9"/>
      <c r="V69" s="9"/>
      <c r="W69" s="9"/>
    </row>
    <row r="70" spans="1:23" x14ac:dyDescent="0.4">
      <c r="A70" s="140" t="s">
        <v>342</v>
      </c>
      <c r="C70" s="16"/>
      <c r="D70" s="22"/>
      <c r="E70" s="22"/>
      <c r="F70" s="22"/>
      <c r="G70" s="22"/>
      <c r="H70" s="22"/>
      <c r="I70" s="22"/>
      <c r="J70" s="22"/>
      <c r="K70" s="22"/>
      <c r="L70" s="22"/>
      <c r="M70" s="22"/>
      <c r="N70" s="22"/>
      <c r="O70" s="22"/>
      <c r="P70" s="22"/>
      <c r="Q70" s="22"/>
      <c r="R70" s="22"/>
      <c r="S70" s="22"/>
      <c r="T70" s="22"/>
      <c r="U70" s="22"/>
      <c r="V70" s="22"/>
    </row>
    <row r="71" spans="1:23" ht="49.2" x14ac:dyDescent="0.4">
      <c r="A71" s="262" t="s">
        <v>125</v>
      </c>
      <c r="B71" s="263" t="s">
        <v>147</v>
      </c>
      <c r="C71" s="39"/>
    </row>
    <row r="72" spans="1:23" x14ac:dyDescent="0.4">
      <c r="A72" s="25" t="s">
        <v>348</v>
      </c>
      <c r="B72" s="268" t="s">
        <v>300</v>
      </c>
    </row>
    <row r="73" spans="1:23" x14ac:dyDescent="0.4">
      <c r="A73" s="41" t="s">
        <v>349</v>
      </c>
      <c r="B73" s="80">
        <v>2.5000000000000001E-2</v>
      </c>
      <c r="C73" s="17"/>
      <c r="D73" s="17"/>
      <c r="E73" s="17"/>
      <c r="F73" s="17"/>
      <c r="G73" s="17"/>
      <c r="H73" s="17"/>
      <c r="I73" s="17"/>
      <c r="J73" s="17"/>
      <c r="K73" s="17"/>
      <c r="L73" s="17"/>
      <c r="M73" s="17"/>
      <c r="N73" s="17"/>
      <c r="O73" s="17"/>
      <c r="P73" s="17"/>
      <c r="Q73" s="17"/>
      <c r="R73" s="17"/>
      <c r="S73" s="17"/>
      <c r="T73" s="17"/>
      <c r="U73" s="17"/>
      <c r="V73" s="17"/>
    </row>
    <row r="74" spans="1:23" x14ac:dyDescent="0.4">
      <c r="A74" s="41" t="s">
        <v>350</v>
      </c>
      <c r="B74" s="80">
        <v>7.6249999999999929E-2</v>
      </c>
      <c r="C74" s="37" t="s">
        <v>262</v>
      </c>
      <c r="D74" s="22"/>
      <c r="E74" s="22"/>
      <c r="F74" s="22"/>
      <c r="G74" s="22"/>
      <c r="H74" s="22"/>
      <c r="I74" s="22"/>
      <c r="J74" s="22"/>
      <c r="K74" s="22"/>
      <c r="L74" s="22"/>
      <c r="M74" s="22"/>
      <c r="N74" s="22"/>
      <c r="O74" s="22"/>
      <c r="P74" s="22"/>
      <c r="Q74" s="22"/>
      <c r="R74" s="22"/>
      <c r="S74" s="22"/>
      <c r="T74" s="22"/>
      <c r="U74" s="22"/>
      <c r="V74" s="22"/>
    </row>
    <row r="75" spans="1:23" ht="45.6" x14ac:dyDescent="0.4">
      <c r="A75" s="41" t="s">
        <v>351</v>
      </c>
      <c r="B75" s="80">
        <v>2.5000000000000001E-2</v>
      </c>
      <c r="C75" s="22"/>
      <c r="D75" s="22"/>
      <c r="E75" s="22"/>
      <c r="F75" s="22"/>
      <c r="G75" s="22"/>
      <c r="H75" s="22"/>
      <c r="I75" s="22"/>
      <c r="J75" s="22"/>
      <c r="K75" s="22"/>
      <c r="L75" s="22"/>
      <c r="M75" s="22"/>
      <c r="N75" s="22"/>
      <c r="O75" s="22"/>
      <c r="P75" s="22"/>
      <c r="Q75" s="22"/>
      <c r="R75" s="22"/>
      <c r="S75" s="22"/>
      <c r="T75" s="22"/>
      <c r="U75" s="22"/>
      <c r="V75" s="22"/>
    </row>
    <row r="76" spans="1:23" ht="45.6" x14ac:dyDescent="0.4">
      <c r="A76" s="31" t="s">
        <v>352</v>
      </c>
      <c r="B76" s="80">
        <v>2.5000000000000001E-2</v>
      </c>
    </row>
    <row r="77" spans="1:23" ht="29.4" customHeight="1" x14ac:dyDescent="0.4">
      <c r="A77" s="60" t="s">
        <v>353</v>
      </c>
      <c r="B77" s="80">
        <v>2.5000000000000001E-2</v>
      </c>
    </row>
    <row r="78" spans="1:23" ht="84" customHeight="1" x14ac:dyDescent="0.4">
      <c r="A78" s="260" t="s">
        <v>354</v>
      </c>
      <c r="B78" s="261">
        <v>2.5000000000000001E-2</v>
      </c>
      <c r="U78" s="16"/>
      <c r="V78" s="16"/>
    </row>
    <row r="79" spans="1:23" x14ac:dyDescent="0.4">
      <c r="A79" s="57" t="s">
        <v>261</v>
      </c>
      <c r="B79" s="18"/>
      <c r="U79" s="16"/>
      <c r="V79" s="16"/>
    </row>
    <row r="80" spans="1:23" x14ac:dyDescent="0.4">
      <c r="A80" s="140" t="s">
        <v>342</v>
      </c>
      <c r="B80" s="18"/>
      <c r="U80" s="16"/>
      <c r="V80" s="16"/>
    </row>
    <row r="81" spans="1:23" s="5" customFormat="1" ht="30" x14ac:dyDescent="0.5">
      <c r="A81" s="96" t="s">
        <v>215</v>
      </c>
      <c r="B81" s="9"/>
      <c r="C81" s="9"/>
      <c r="D81" s="9"/>
      <c r="E81" s="9"/>
      <c r="F81" s="9"/>
      <c r="G81" s="9"/>
      <c r="H81" s="9"/>
      <c r="I81" s="9"/>
      <c r="J81" s="9"/>
      <c r="K81" s="9"/>
      <c r="L81" s="9"/>
      <c r="M81" s="9"/>
      <c r="N81" s="9"/>
      <c r="O81" s="9"/>
      <c r="P81" s="9"/>
      <c r="Q81" s="9"/>
      <c r="R81" s="9"/>
      <c r="S81" s="9"/>
      <c r="T81" s="9"/>
      <c r="U81" s="9"/>
      <c r="V81" s="9"/>
      <c r="W81" s="9"/>
    </row>
    <row r="82" spans="1:23" s="18" customFormat="1" x14ac:dyDescent="0.4">
      <c r="A82" s="140" t="s">
        <v>342</v>
      </c>
      <c r="B82" s="16"/>
      <c r="C82" s="19"/>
    </row>
    <row r="83" spans="1:23" s="18" customFormat="1" ht="25.2" thickBot="1" x14ac:dyDescent="0.45">
      <c r="A83" s="256" t="s">
        <v>216</v>
      </c>
      <c r="B83" s="16" t="s">
        <v>218</v>
      </c>
      <c r="C83" s="21"/>
    </row>
    <row r="84" spans="1:23" ht="23.4" thickBot="1" x14ac:dyDescent="0.45">
      <c r="A84" s="88">
        <v>10</v>
      </c>
      <c r="B84" s="94" t="str">
        <f>HLOOKUP($A$84,$I$88:$N$89,2,FALSE)</f>
        <v>Year 12</v>
      </c>
    </row>
    <row r="85" spans="1:23" x14ac:dyDescent="0.4">
      <c r="A85" s="29" t="s">
        <v>221</v>
      </c>
    </row>
    <row r="86" spans="1:23" x14ac:dyDescent="0.4">
      <c r="A86" s="140" t="s">
        <v>342</v>
      </c>
      <c r="C86" s="16"/>
    </row>
    <row r="87" spans="1:23" s="375" customFormat="1" ht="45.6" x14ac:dyDescent="0.4">
      <c r="A87" s="100" t="s">
        <v>231</v>
      </c>
      <c r="B87" s="369" t="s">
        <v>366</v>
      </c>
      <c r="C87" s="369" t="s">
        <v>303</v>
      </c>
      <c r="D87" s="369" t="s">
        <v>304</v>
      </c>
      <c r="E87" s="341" t="s">
        <v>305</v>
      </c>
      <c r="F87" s="341" t="s">
        <v>306</v>
      </c>
      <c r="G87" s="341" t="s">
        <v>307</v>
      </c>
      <c r="H87" s="341" t="s">
        <v>308</v>
      </c>
      <c r="I87" s="341" t="s">
        <v>309</v>
      </c>
      <c r="J87" s="341" t="s">
        <v>310</v>
      </c>
      <c r="K87" s="341" t="s">
        <v>311</v>
      </c>
      <c r="L87" s="341" t="s">
        <v>312</v>
      </c>
      <c r="M87" s="341" t="s">
        <v>313</v>
      </c>
      <c r="N87" s="349" t="s">
        <v>314</v>
      </c>
    </row>
    <row r="88" spans="1:23" x14ac:dyDescent="0.4">
      <c r="A88" s="92" t="s">
        <v>220</v>
      </c>
      <c r="B88" s="268" t="s">
        <v>300</v>
      </c>
      <c r="C88" s="268" t="s">
        <v>300</v>
      </c>
      <c r="D88" s="268" t="s">
        <v>300</v>
      </c>
      <c r="E88" s="104">
        <v>1</v>
      </c>
      <c r="F88" s="104">
        <v>2</v>
      </c>
      <c r="G88" s="104">
        <v>3</v>
      </c>
      <c r="H88" s="104">
        <v>4</v>
      </c>
      <c r="I88" s="104">
        <v>5</v>
      </c>
      <c r="J88" s="104">
        <v>6</v>
      </c>
      <c r="K88" s="104">
        <v>7</v>
      </c>
      <c r="L88" s="104">
        <v>8</v>
      </c>
      <c r="M88" s="104">
        <v>9</v>
      </c>
      <c r="N88" s="104">
        <v>10</v>
      </c>
    </row>
    <row r="89" spans="1:23" x14ac:dyDescent="0.4">
      <c r="A89" s="92" t="s">
        <v>217</v>
      </c>
      <c r="B89" s="104" t="s">
        <v>5</v>
      </c>
      <c r="C89" s="104" t="s">
        <v>4</v>
      </c>
      <c r="D89" s="104" t="s">
        <v>3</v>
      </c>
      <c r="E89" s="104" t="s">
        <v>2</v>
      </c>
      <c r="F89" s="104" t="s">
        <v>1</v>
      </c>
      <c r="G89" s="104" t="s">
        <v>0</v>
      </c>
      <c r="H89" s="104" t="s">
        <v>7</v>
      </c>
      <c r="I89" s="104" t="s">
        <v>8</v>
      </c>
      <c r="J89" s="104" t="s">
        <v>9</v>
      </c>
      <c r="K89" s="104" t="s">
        <v>10</v>
      </c>
      <c r="L89" s="104" t="s">
        <v>11</v>
      </c>
      <c r="M89" s="104" t="s">
        <v>69</v>
      </c>
      <c r="N89" s="104" t="s">
        <v>70</v>
      </c>
    </row>
    <row r="90" spans="1:23" x14ac:dyDescent="0.4">
      <c r="A90" s="264" t="s">
        <v>219</v>
      </c>
      <c r="B90" s="267" t="s">
        <v>300</v>
      </c>
      <c r="C90" s="267" t="s">
        <v>300</v>
      </c>
      <c r="D90" s="267" t="s">
        <v>300</v>
      </c>
      <c r="E90" s="265" t="str">
        <f>IF($A$84&gt;=E88,"Yes","No")</f>
        <v>Yes</v>
      </c>
      <c r="F90" s="265" t="str">
        <f t="shared" ref="F90:N90" si="0">IF($A$84&gt;=F88,"Yes","No")</f>
        <v>Yes</v>
      </c>
      <c r="G90" s="265" t="str">
        <f t="shared" si="0"/>
        <v>Yes</v>
      </c>
      <c r="H90" s="265" t="str">
        <f t="shared" si="0"/>
        <v>Yes</v>
      </c>
      <c r="I90" s="265" t="str">
        <f t="shared" si="0"/>
        <v>Yes</v>
      </c>
      <c r="J90" s="265" t="str">
        <f t="shared" si="0"/>
        <v>Yes</v>
      </c>
      <c r="K90" s="265" t="str">
        <f t="shared" si="0"/>
        <v>Yes</v>
      </c>
      <c r="L90" s="265" t="str">
        <f t="shared" si="0"/>
        <v>Yes</v>
      </c>
      <c r="M90" s="265" t="str">
        <f t="shared" si="0"/>
        <v>Yes</v>
      </c>
      <c r="N90" s="265" t="str">
        <f t="shared" si="0"/>
        <v>Yes</v>
      </c>
    </row>
    <row r="91" spans="1:23" x14ac:dyDescent="0.4">
      <c r="C91" s="16"/>
    </row>
    <row r="92" spans="1:23" x14ac:dyDescent="0.4">
      <c r="C92" s="16"/>
    </row>
  </sheetData>
  <mergeCells count="2">
    <mergeCell ref="A3:B4"/>
    <mergeCell ref="C60:E60"/>
  </mergeCells>
  <phoneticPr fontId="3" type="noConversion"/>
  <conditionalFormatting sqref="A43:B43">
    <cfRule type="expression" dxfId="29" priority="1">
      <formula>$B$39=1</formula>
    </cfRule>
  </conditionalFormatting>
  <conditionalFormatting sqref="B19:B24">
    <cfRule type="expression" dxfId="28" priority="27">
      <formula>$C$19&gt;0</formula>
    </cfRule>
  </conditionalFormatting>
  <conditionalFormatting sqref="B52:B55">
    <cfRule type="expression" dxfId="27" priority="24">
      <formula>$C$55&gt;0</formula>
    </cfRule>
  </conditionalFormatting>
  <conditionalFormatting sqref="C19">
    <cfRule type="expression" dxfId="26" priority="5">
      <formula>ISBLANK(C19)</formula>
    </cfRule>
  </conditionalFormatting>
  <conditionalFormatting sqref="C55">
    <cfRule type="expression" dxfId="25" priority="3">
      <formula>ISBLANK(C55)</formula>
    </cfRule>
  </conditionalFormatting>
  <dataValidations count="3">
    <dataValidation type="list" allowBlank="1" showInputMessage="1" showErrorMessage="1" sqref="A66" xr:uid="{3F0D91C4-287D-4C49-8EB0-421504BEBC0C}">
      <formula1>$A$60:$A$62</formula1>
    </dataValidation>
    <dataValidation type="list" allowBlank="1" showInputMessage="1" showErrorMessage="1" sqref="A84" xr:uid="{F648A1E0-B92C-4109-A253-E4E48FEFE6CE}">
      <formula1>$I$88:$N$88</formula1>
    </dataValidation>
    <dataValidation type="list" allowBlank="1" showInputMessage="1" showErrorMessage="1" sqref="A36" xr:uid="{E3B9884D-3FA1-43CB-A20D-25B9A15FBB38}">
      <formula1>$A$32:$C$32</formula1>
    </dataValidation>
  </dataValidations>
  <pageMargins left="0.7" right="0.7" top="0.75" bottom="0.75" header="0.3" footer="0.3"/>
  <pageSetup orientation="portrait" verticalDpi="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E12B-565A-4C6A-B29D-E99EC585BAE4}">
  <sheetPr codeName="Sheet5">
    <tabColor theme="4" tint="0.39997558519241921"/>
  </sheetPr>
  <dimension ref="A1:Y56"/>
  <sheetViews>
    <sheetView showGridLines="0" zoomScale="55" zoomScaleNormal="55" workbookViewId="0">
      <pane ySplit="1" topLeftCell="A4" activePane="bottomLeft" state="frozen"/>
      <selection activeCell="B1" sqref="B1"/>
      <selection pane="bottomLeft"/>
    </sheetView>
  </sheetViews>
  <sheetFormatPr defaultColWidth="8.6640625" defaultRowHeight="22.8" x14ac:dyDescent="0.4"/>
  <cols>
    <col min="1" max="1" width="88.6640625" style="16" customWidth="1"/>
    <col min="2" max="2" width="25.5546875" style="16" customWidth="1"/>
    <col min="3" max="4" width="25.5546875" style="18" customWidth="1"/>
    <col min="5" max="5" width="27.6640625" style="18" customWidth="1"/>
    <col min="6" max="6" width="26.33203125" style="18" customWidth="1"/>
    <col min="7" max="11" width="25.5546875" style="18" customWidth="1"/>
    <col min="12" max="22" width="20.6640625" style="18" customWidth="1"/>
    <col min="23" max="16384" width="8.6640625" style="16"/>
  </cols>
  <sheetData>
    <row r="1" spans="1:24" s="1" customFormat="1" ht="65.099999999999994" customHeight="1" x14ac:dyDescent="0.4">
      <c r="A1" s="147" t="s">
        <v>34</v>
      </c>
      <c r="G1" s="197"/>
      <c r="H1" s="68"/>
      <c r="I1" s="68"/>
      <c r="J1" s="68"/>
      <c r="K1" s="2"/>
      <c r="L1" s="2"/>
      <c r="M1" s="2"/>
      <c r="N1" s="2"/>
      <c r="O1" s="2"/>
      <c r="P1" s="2"/>
      <c r="Q1" s="2"/>
      <c r="R1" s="2"/>
      <c r="S1" s="2"/>
      <c r="T1" s="2"/>
      <c r="U1" s="2"/>
      <c r="V1" s="2"/>
    </row>
    <row r="2" spans="1:24" ht="25.95" hidden="1" customHeight="1" x14ac:dyDescent="0.4">
      <c r="A2" s="148"/>
      <c r="B2" s="148"/>
      <c r="C2" s="148"/>
      <c r="E2" s="151"/>
    </row>
    <row r="3" spans="1:24" ht="22.2" hidden="1" customHeight="1" x14ac:dyDescent="0.4">
      <c r="A3" s="148"/>
      <c r="B3" s="148"/>
      <c r="C3" s="148"/>
      <c r="E3" s="151"/>
    </row>
    <row r="4" spans="1:24" ht="33.6" customHeight="1" x14ac:dyDescent="0.4">
      <c r="A4" s="401" t="s">
        <v>179</v>
      </c>
      <c r="B4" s="401"/>
      <c r="C4" s="401"/>
      <c r="E4" s="151"/>
      <c r="F4" s="151"/>
    </row>
    <row r="5" spans="1:24" ht="44.4" x14ac:dyDescent="0.4">
      <c r="A5" s="401"/>
      <c r="B5" s="401"/>
      <c r="C5" s="401"/>
      <c r="E5" s="156"/>
      <c r="F5" s="227"/>
    </row>
    <row r="6" spans="1:24" ht="40.200000000000003" customHeight="1" x14ac:dyDescent="0.4">
      <c r="A6" s="151" t="s">
        <v>160</v>
      </c>
      <c r="B6" s="18"/>
      <c r="C6" s="352"/>
      <c r="E6" s="156"/>
      <c r="F6" s="227"/>
    </row>
    <row r="7" spans="1:24" ht="27" customHeight="1" x14ac:dyDescent="0.4">
      <c r="A7" s="380" t="s">
        <v>298</v>
      </c>
      <c r="B7" s="387" t="s">
        <v>297</v>
      </c>
      <c r="C7" s="352"/>
      <c r="E7" s="156"/>
      <c r="F7" s="227"/>
    </row>
    <row r="8" spans="1:24" ht="27" customHeight="1" x14ac:dyDescent="0.4">
      <c r="A8" s="379" t="s">
        <v>13</v>
      </c>
      <c r="B8" s="384" t="s">
        <v>148</v>
      </c>
      <c r="C8" s="352"/>
      <c r="E8" s="156"/>
      <c r="F8" s="227"/>
    </row>
    <row r="9" spans="1:24" ht="27" customHeight="1" x14ac:dyDescent="0.4">
      <c r="A9" s="379" t="s">
        <v>49</v>
      </c>
      <c r="B9" s="385"/>
      <c r="C9" s="363" t="s">
        <v>338</v>
      </c>
      <c r="E9" s="156"/>
      <c r="F9" s="227"/>
    </row>
    <row r="10" spans="1:24" ht="27" customHeight="1" x14ac:dyDescent="0.4">
      <c r="A10" s="379" t="s">
        <v>40</v>
      </c>
      <c r="B10" s="386" t="s">
        <v>159</v>
      </c>
      <c r="C10" s="352"/>
      <c r="E10" s="156"/>
      <c r="F10" s="227"/>
    </row>
    <row r="11" spans="1:24" ht="27" customHeight="1" x14ac:dyDescent="0.4">
      <c r="A11" s="382" t="s">
        <v>68</v>
      </c>
      <c r="B11" s="388" t="s">
        <v>158</v>
      </c>
      <c r="C11" s="352"/>
      <c r="E11" s="156"/>
      <c r="F11" s="227"/>
    </row>
    <row r="12" spans="1:24" s="1" customFormat="1" ht="52.95" customHeight="1" x14ac:dyDescent="0.5">
      <c r="A12" s="155" t="str">
        <f>'Inputs - Constant'!A14</f>
        <v>California DOT EVCI P3 Test: Run 1 (Baseline Multiple Revenue Scenario)</v>
      </c>
      <c r="D12" s="2"/>
      <c r="E12" s="156"/>
      <c r="F12" s="357"/>
      <c r="G12" s="2"/>
      <c r="H12" s="156"/>
      <c r="I12" s="8"/>
      <c r="J12" s="2"/>
      <c r="K12" s="2"/>
      <c r="L12" s="2"/>
      <c r="M12" s="2"/>
      <c r="N12" s="2"/>
      <c r="O12" s="2"/>
      <c r="P12" s="2"/>
      <c r="Q12" s="2"/>
      <c r="R12" s="2"/>
      <c r="S12" s="2"/>
      <c r="T12" s="2"/>
      <c r="U12" s="2"/>
      <c r="V12" s="2"/>
    </row>
    <row r="13" spans="1:24" s="1" customFormat="1" ht="21" customHeight="1" x14ac:dyDescent="0.4">
      <c r="A13" s="1" t="s">
        <v>342</v>
      </c>
      <c r="B13" s="7"/>
      <c r="C13" s="8"/>
      <c r="D13" s="2"/>
      <c r="E13" s="2"/>
      <c r="F13" s="2"/>
      <c r="G13" s="2"/>
      <c r="H13" s="7"/>
      <c r="I13" s="8"/>
      <c r="J13" s="2"/>
      <c r="K13" s="2"/>
      <c r="L13" s="2"/>
      <c r="M13" s="2"/>
      <c r="N13" s="2"/>
      <c r="O13" s="2"/>
      <c r="P13" s="2"/>
      <c r="Q13" s="2"/>
      <c r="R13" s="2"/>
      <c r="S13" s="2"/>
      <c r="T13" s="2"/>
      <c r="U13" s="2"/>
      <c r="V13" s="2"/>
    </row>
    <row r="14" spans="1:24" s="5" customFormat="1" ht="30" x14ac:dyDescent="0.5">
      <c r="A14" s="96" t="s">
        <v>80</v>
      </c>
      <c r="B14" s="4"/>
      <c r="C14" s="6"/>
      <c r="D14" s="6"/>
      <c r="E14" s="6"/>
      <c r="F14" s="6"/>
      <c r="G14" s="6"/>
      <c r="H14" s="6"/>
      <c r="I14" s="6"/>
      <c r="J14" s="6"/>
      <c r="K14" s="6"/>
      <c r="L14" s="6"/>
      <c r="M14" s="6"/>
      <c r="N14" s="6"/>
      <c r="O14" s="6"/>
      <c r="P14" s="6"/>
      <c r="Q14" s="6"/>
      <c r="R14" s="6"/>
      <c r="S14" s="6"/>
      <c r="T14" s="6"/>
      <c r="U14" s="6"/>
      <c r="V14" s="6"/>
    </row>
    <row r="15" spans="1:24" s="1" customFormat="1" x14ac:dyDescent="0.4">
      <c r="A15" s="1" t="s">
        <v>342</v>
      </c>
      <c r="B15" s="40"/>
      <c r="C15" s="2"/>
      <c r="D15" s="2"/>
      <c r="E15" s="2"/>
      <c r="F15" s="2"/>
      <c r="G15" s="2"/>
      <c r="H15" s="2"/>
      <c r="I15" s="2"/>
      <c r="J15" s="2"/>
      <c r="K15" s="2"/>
      <c r="L15" s="2"/>
      <c r="M15" s="2"/>
      <c r="N15" s="2"/>
      <c r="O15" s="2"/>
      <c r="P15" s="2"/>
      <c r="Q15" s="2"/>
      <c r="R15" s="2"/>
      <c r="S15" s="2"/>
      <c r="T15" s="2"/>
      <c r="U15" s="2"/>
      <c r="V15" s="2"/>
    </row>
    <row r="16" spans="1:24" ht="98.4" customHeight="1" x14ac:dyDescent="0.4">
      <c r="A16" s="100" t="s">
        <v>104</v>
      </c>
      <c r="B16" s="348" t="s">
        <v>320</v>
      </c>
      <c r="C16" s="348" t="s">
        <v>321</v>
      </c>
      <c r="D16" s="348" t="s">
        <v>322</v>
      </c>
      <c r="E16" s="349" t="s">
        <v>323</v>
      </c>
      <c r="F16" s="349" t="s">
        <v>324</v>
      </c>
      <c r="G16" s="349" t="s">
        <v>325</v>
      </c>
      <c r="H16" s="349" t="s">
        <v>326</v>
      </c>
      <c r="I16" s="349" t="s">
        <v>327</v>
      </c>
      <c r="J16" s="349" t="s">
        <v>328</v>
      </c>
      <c r="K16" s="349" t="s">
        <v>329</v>
      </c>
      <c r="L16" s="349" t="s">
        <v>330</v>
      </c>
      <c r="M16" s="349" t="s">
        <v>331</v>
      </c>
      <c r="N16" s="349" t="s">
        <v>332</v>
      </c>
      <c r="W16" s="18"/>
      <c r="X16" s="18"/>
    </row>
    <row r="17" spans="1:24" x14ac:dyDescent="0.4">
      <c r="A17" s="25" t="s">
        <v>348</v>
      </c>
      <c r="B17" s="268" t="s">
        <v>300</v>
      </c>
      <c r="C17" s="268" t="s">
        <v>300</v>
      </c>
      <c r="D17" s="268" t="s">
        <v>300</v>
      </c>
      <c r="E17" s="63">
        <f t="shared" ref="E17:N17" si="0">SUM(E18:E20)</f>
        <v>100000</v>
      </c>
      <c r="F17" s="63">
        <f t="shared" si="0"/>
        <v>105062.5</v>
      </c>
      <c r="G17" s="63">
        <f t="shared" si="0"/>
        <v>110446.95312499999</v>
      </c>
      <c r="H17" s="63">
        <f t="shared" si="0"/>
        <v>116176.30673828122</v>
      </c>
      <c r="I17" s="63">
        <f t="shared" si="0"/>
        <v>122275.21790051265</v>
      </c>
      <c r="J17" s="63">
        <f t="shared" si="0"/>
        <v>128770.18273320017</v>
      </c>
      <c r="K17" s="63">
        <f t="shared" si="0"/>
        <v>135689.67562107445</v>
      </c>
      <c r="L17" s="63">
        <f t="shared" si="0"/>
        <v>143064.29900301082</v>
      </c>
      <c r="M17" s="63">
        <f t="shared" si="0"/>
        <v>150926.94455821562</v>
      </c>
      <c r="N17" s="63">
        <f t="shared" si="0"/>
        <v>159312.96665591036</v>
      </c>
      <c r="W17" s="18"/>
      <c r="X17" s="18"/>
    </row>
    <row r="18" spans="1:24" x14ac:dyDescent="0.4">
      <c r="A18" s="27" t="s">
        <v>355</v>
      </c>
      <c r="B18" s="268" t="s">
        <v>300</v>
      </c>
      <c r="C18" s="268" t="s">
        <v>300</v>
      </c>
      <c r="D18" s="268" t="s">
        <v>300</v>
      </c>
      <c r="E18" s="81">
        <v>30000</v>
      </c>
      <c r="F18" s="64">
        <f>E18*(1+'Inputs - Constant'!$B$73)</f>
        <v>30749.999999999996</v>
      </c>
      <c r="G18" s="64">
        <f>F18*(1+'Inputs - Constant'!$B$73)</f>
        <v>31518.749999999993</v>
      </c>
      <c r="H18" s="64">
        <f>G18*(1+'Inputs - Constant'!$B$73)</f>
        <v>32306.718749999989</v>
      </c>
      <c r="I18" s="64">
        <f>H18*(1+'Inputs - Constant'!$B$73)</f>
        <v>33114.386718749985</v>
      </c>
      <c r="J18" s="64">
        <f>I18*(1+'Inputs - Constant'!$B$73)</f>
        <v>33942.246386718733</v>
      </c>
      <c r="K18" s="64">
        <f>J18*(1+'Inputs - Constant'!$B$73)</f>
        <v>34790.802546386694</v>
      </c>
      <c r="L18" s="64">
        <f>K18*(1+'Inputs - Constant'!$B$73)</f>
        <v>35660.572610046358</v>
      </c>
      <c r="M18" s="64">
        <f>L18*(1+'Inputs - Constant'!$B$73)</f>
        <v>36552.086925297517</v>
      </c>
      <c r="N18" s="64">
        <f>M18*(1+'Inputs - Constant'!$B$73)</f>
        <v>37465.889098429951</v>
      </c>
      <c r="W18" s="18"/>
      <c r="X18" s="18"/>
    </row>
    <row r="19" spans="1:24" x14ac:dyDescent="0.4">
      <c r="A19" s="27" t="s">
        <v>350</v>
      </c>
      <c r="B19" s="268" t="s">
        <v>300</v>
      </c>
      <c r="C19" s="268" t="s">
        <v>300</v>
      </c>
      <c r="D19" s="268" t="s">
        <v>300</v>
      </c>
      <c r="E19" s="82">
        <v>50000</v>
      </c>
      <c r="F19" s="64">
        <f>E19*(1+'Inputs - Constant'!$B$74)</f>
        <v>53812.5</v>
      </c>
      <c r="G19" s="64">
        <f>F19*(1+'Inputs - Constant'!$B$74)</f>
        <v>57915.703124999993</v>
      </c>
      <c r="H19" s="64">
        <f>G19*(1+'Inputs - Constant'!$B$74)</f>
        <v>62331.775488281237</v>
      </c>
      <c r="I19" s="64">
        <f>H19*(1+'Inputs - Constant'!$B$74)</f>
        <v>67084.573369262682</v>
      </c>
      <c r="J19" s="64">
        <f>I19*(1+'Inputs - Constant'!$B$74)</f>
        <v>72199.772088668949</v>
      </c>
      <c r="K19" s="64">
        <f>J19*(1+'Inputs - Constant'!$B$74)</f>
        <v>77705.004710429945</v>
      </c>
      <c r="L19" s="64">
        <f>K19*(1+'Inputs - Constant'!$B$74)</f>
        <v>83630.01131960022</v>
      </c>
      <c r="M19" s="64">
        <f>L19*(1+'Inputs - Constant'!$B$74)</f>
        <v>90006.799682719735</v>
      </c>
      <c r="N19" s="64">
        <f>M19*(1+'Inputs - Constant'!$B$74)</f>
        <v>96869.818158527109</v>
      </c>
      <c r="O19" s="39" t="s">
        <v>241</v>
      </c>
      <c r="W19" s="18"/>
      <c r="X19" s="18"/>
    </row>
    <row r="20" spans="1:24" x14ac:dyDescent="0.4">
      <c r="A20" s="27" t="s">
        <v>351</v>
      </c>
      <c r="B20" s="268" t="s">
        <v>300</v>
      </c>
      <c r="C20" s="268" t="s">
        <v>300</v>
      </c>
      <c r="D20" s="268" t="s">
        <v>300</v>
      </c>
      <c r="E20" s="82">
        <v>20000</v>
      </c>
      <c r="F20" s="64">
        <f>E20*(1+'Inputs - Constant'!$B$75)</f>
        <v>20500</v>
      </c>
      <c r="G20" s="64">
        <f>F20*(1+'Inputs - Constant'!$B$75)</f>
        <v>21012.499999999996</v>
      </c>
      <c r="H20" s="64">
        <f>G20*(1+'Inputs - Constant'!$B$75)</f>
        <v>21537.812499999993</v>
      </c>
      <c r="I20" s="64">
        <f>H20*(1+'Inputs - Constant'!$B$75)</f>
        <v>22076.257812499989</v>
      </c>
      <c r="J20" s="64">
        <f>I20*(1+'Inputs - Constant'!$B$75)</f>
        <v>22628.164257812488</v>
      </c>
      <c r="K20" s="64">
        <f>J20*(1+'Inputs - Constant'!$B$75)</f>
        <v>23193.8683642578</v>
      </c>
      <c r="L20" s="64">
        <f>K20*(1+'Inputs - Constant'!$B$75)</f>
        <v>23773.715073364241</v>
      </c>
      <c r="M20" s="64">
        <f>L20*(1+'Inputs - Constant'!$B$75)</f>
        <v>24368.057950198345</v>
      </c>
      <c r="N20" s="64">
        <f>M20*(1+'Inputs - Constant'!$B$75)</f>
        <v>24977.259398953302</v>
      </c>
      <c r="W20" s="18"/>
      <c r="X20" s="18"/>
    </row>
    <row r="21" spans="1:24" x14ac:dyDescent="0.4">
      <c r="A21" s="269" t="s">
        <v>300</v>
      </c>
      <c r="B21" s="268" t="s">
        <v>300</v>
      </c>
      <c r="C21" s="268" t="s">
        <v>300</v>
      </c>
      <c r="D21" s="268" t="s">
        <v>300</v>
      </c>
      <c r="E21" s="266" t="s">
        <v>300</v>
      </c>
      <c r="F21" s="266" t="s">
        <v>300</v>
      </c>
      <c r="G21" s="266" t="s">
        <v>300</v>
      </c>
      <c r="H21" s="266" t="s">
        <v>300</v>
      </c>
      <c r="I21" s="266" t="s">
        <v>300</v>
      </c>
      <c r="J21" s="266" t="s">
        <v>300</v>
      </c>
      <c r="K21" s="266" t="s">
        <v>300</v>
      </c>
      <c r="L21" s="266" t="s">
        <v>300</v>
      </c>
      <c r="M21" s="266" t="s">
        <v>300</v>
      </c>
      <c r="N21" s="266" t="s">
        <v>300</v>
      </c>
      <c r="W21" s="18"/>
      <c r="X21" s="18"/>
    </row>
    <row r="22" spans="1:24" x14ac:dyDescent="0.4">
      <c r="A22" s="242" t="s">
        <v>356</v>
      </c>
      <c r="B22" s="267" t="s">
        <v>300</v>
      </c>
      <c r="C22" s="267" t="s">
        <v>300</v>
      </c>
      <c r="D22" s="267" t="s">
        <v>300</v>
      </c>
      <c r="E22" s="270"/>
      <c r="F22" s="270"/>
      <c r="G22" s="270"/>
      <c r="H22" s="270"/>
      <c r="I22" s="270"/>
      <c r="J22" s="270"/>
      <c r="K22" s="270"/>
      <c r="L22" s="270"/>
      <c r="M22" s="270"/>
      <c r="N22" s="270"/>
      <c r="W22" s="18"/>
      <c r="X22" s="18"/>
    </row>
    <row r="23" spans="1:24" s="18" customFormat="1" x14ac:dyDescent="0.4">
      <c r="A23" s="29" t="s">
        <v>73</v>
      </c>
      <c r="B23" s="19"/>
      <c r="C23" s="19"/>
      <c r="D23" s="19"/>
    </row>
    <row r="24" spans="1:24" s="18" customFormat="1" x14ac:dyDescent="0.4">
      <c r="A24" s="1" t="s">
        <v>342</v>
      </c>
      <c r="B24" s="19"/>
      <c r="C24" s="19"/>
      <c r="D24" s="19"/>
    </row>
    <row r="25" spans="1:24" s="1" customFormat="1" ht="112.2" customHeight="1" x14ac:dyDescent="0.4">
      <c r="A25" s="100" t="s">
        <v>75</v>
      </c>
      <c r="B25" s="348" t="s">
        <v>320</v>
      </c>
      <c r="C25" s="348" t="s">
        <v>321</v>
      </c>
      <c r="D25" s="348" t="s">
        <v>322</v>
      </c>
      <c r="E25" s="349" t="s">
        <v>323</v>
      </c>
      <c r="F25" s="349" t="s">
        <v>324</v>
      </c>
      <c r="G25" s="349" t="s">
        <v>325</v>
      </c>
      <c r="H25" s="349" t="s">
        <v>326</v>
      </c>
      <c r="I25" s="349" t="s">
        <v>327</v>
      </c>
      <c r="J25" s="349" t="s">
        <v>328</v>
      </c>
      <c r="K25" s="349" t="s">
        <v>329</v>
      </c>
      <c r="L25" s="349" t="s">
        <v>330</v>
      </c>
      <c r="M25" s="349" t="s">
        <v>331</v>
      </c>
      <c r="N25" s="349" t="s">
        <v>332</v>
      </c>
      <c r="O25" s="2"/>
      <c r="P25" s="2"/>
      <c r="Q25" s="2"/>
      <c r="R25" s="2"/>
      <c r="S25" s="2"/>
      <c r="T25" s="2"/>
      <c r="U25" s="2"/>
      <c r="V25" s="2"/>
    </row>
    <row r="26" spans="1:24" s="18" customFormat="1" x14ac:dyDescent="0.4">
      <c r="A26" s="258" t="s">
        <v>225</v>
      </c>
      <c r="B26" s="267" t="s">
        <v>300</v>
      </c>
      <c r="C26" s="267" t="s">
        <v>300</v>
      </c>
      <c r="D26" s="267" t="s">
        <v>300</v>
      </c>
      <c r="E26" s="270">
        <v>0</v>
      </c>
      <c r="F26" s="270">
        <v>0</v>
      </c>
      <c r="G26" s="270">
        <v>0</v>
      </c>
      <c r="H26" s="270">
        <v>0</v>
      </c>
      <c r="I26" s="270">
        <v>50000</v>
      </c>
      <c r="J26" s="270">
        <v>0</v>
      </c>
      <c r="K26" s="270">
        <v>0</v>
      </c>
      <c r="L26" s="270">
        <v>0</v>
      </c>
      <c r="M26" s="270">
        <v>0</v>
      </c>
      <c r="N26" s="271">
        <v>0</v>
      </c>
    </row>
    <row r="27" spans="1:24" s="18" customFormat="1" x14ac:dyDescent="0.4">
      <c r="A27" s="1" t="s">
        <v>342</v>
      </c>
      <c r="B27" s="32"/>
      <c r="C27" s="19"/>
      <c r="D27" s="19"/>
    </row>
    <row r="28" spans="1:24" s="5" customFormat="1" ht="30" x14ac:dyDescent="0.5">
      <c r="A28" s="96" t="s">
        <v>121</v>
      </c>
      <c r="B28" s="4"/>
      <c r="C28" s="6"/>
      <c r="D28" s="6"/>
      <c r="E28" s="6"/>
      <c r="F28" s="6"/>
      <c r="G28" s="6"/>
      <c r="H28" s="6"/>
      <c r="I28" s="6"/>
      <c r="J28" s="6"/>
      <c r="K28" s="6"/>
      <c r="L28" s="6"/>
      <c r="M28" s="6"/>
      <c r="N28" s="6"/>
      <c r="O28" s="6"/>
      <c r="P28" s="6"/>
      <c r="Q28" s="6"/>
      <c r="R28" s="6"/>
      <c r="S28" s="6"/>
      <c r="T28" s="6"/>
      <c r="U28" s="6"/>
      <c r="V28" s="6"/>
    </row>
    <row r="29" spans="1:24" s="18" customFormat="1" x14ac:dyDescent="0.4">
      <c r="A29" s="1" t="s">
        <v>342</v>
      </c>
      <c r="B29" s="32"/>
      <c r="C29" s="19"/>
      <c r="D29" s="19"/>
    </row>
    <row r="30" spans="1:24" s="18" customFormat="1" ht="108.6" customHeight="1" x14ac:dyDescent="0.4">
      <c r="A30" s="100" t="s">
        <v>141</v>
      </c>
      <c r="B30" s="348" t="s">
        <v>320</v>
      </c>
      <c r="C30" s="348" t="s">
        <v>321</v>
      </c>
      <c r="D30" s="348" t="s">
        <v>322</v>
      </c>
      <c r="E30" s="349" t="s">
        <v>323</v>
      </c>
      <c r="F30" s="349" t="s">
        <v>324</v>
      </c>
      <c r="G30" s="349" t="s">
        <v>325</v>
      </c>
      <c r="H30" s="349" t="s">
        <v>326</v>
      </c>
      <c r="I30" s="349" t="s">
        <v>327</v>
      </c>
      <c r="J30" s="349" t="s">
        <v>328</v>
      </c>
      <c r="K30" s="349" t="s">
        <v>329</v>
      </c>
      <c r="L30" s="349" t="s">
        <v>330</v>
      </c>
      <c r="M30" s="349" t="s">
        <v>331</v>
      </c>
      <c r="N30" s="349" t="s">
        <v>332</v>
      </c>
    </row>
    <row r="31" spans="1:24" s="18" customFormat="1" x14ac:dyDescent="0.4">
      <c r="A31" s="252" t="s">
        <v>155</v>
      </c>
      <c r="B31" s="243">
        <v>0.8</v>
      </c>
      <c r="C31" s="331">
        <f>$B$31</f>
        <v>0.8</v>
      </c>
      <c r="D31" s="331">
        <f t="shared" ref="D31:N31" si="1">$B$31</f>
        <v>0.8</v>
      </c>
      <c r="E31" s="333">
        <f t="shared" si="1"/>
        <v>0.8</v>
      </c>
      <c r="F31" s="333">
        <f t="shared" si="1"/>
        <v>0.8</v>
      </c>
      <c r="G31" s="333">
        <f t="shared" si="1"/>
        <v>0.8</v>
      </c>
      <c r="H31" s="333">
        <f t="shared" si="1"/>
        <v>0.8</v>
      </c>
      <c r="I31" s="333">
        <f t="shared" si="1"/>
        <v>0.8</v>
      </c>
      <c r="J31" s="333">
        <f t="shared" si="1"/>
        <v>0.8</v>
      </c>
      <c r="K31" s="333">
        <f t="shared" si="1"/>
        <v>0.8</v>
      </c>
      <c r="L31" s="333">
        <f t="shared" si="1"/>
        <v>0.8</v>
      </c>
      <c r="M31" s="334">
        <f t="shared" si="1"/>
        <v>0.8</v>
      </c>
      <c r="N31" s="333">
        <f t="shared" si="1"/>
        <v>0.8</v>
      </c>
    </row>
    <row r="32" spans="1:24" s="18" customFormat="1" x14ac:dyDescent="0.4">
      <c r="A32" s="225" t="s">
        <v>264</v>
      </c>
      <c r="B32" s="59"/>
      <c r="C32" s="59"/>
      <c r="D32" s="59"/>
      <c r="E32" s="61"/>
      <c r="F32" s="61"/>
      <c r="G32" s="61"/>
      <c r="H32" s="61"/>
      <c r="I32" s="61"/>
      <c r="J32" s="61"/>
      <c r="K32" s="61"/>
      <c r="L32" s="61"/>
      <c r="M32" s="61"/>
      <c r="N32" s="61"/>
    </row>
    <row r="33" spans="1:25" s="5" customFormat="1" ht="30" x14ac:dyDescent="0.5">
      <c r="A33" s="96" t="s">
        <v>79</v>
      </c>
      <c r="B33" s="6"/>
      <c r="C33" s="6"/>
      <c r="D33" s="6"/>
      <c r="E33" s="6"/>
      <c r="F33" s="6"/>
      <c r="G33" s="6"/>
      <c r="H33" s="6"/>
      <c r="I33" s="6"/>
      <c r="J33" s="6"/>
      <c r="K33" s="6"/>
      <c r="L33" s="6"/>
      <c r="M33" s="6"/>
      <c r="N33" s="6"/>
      <c r="O33" s="6"/>
      <c r="P33" s="6"/>
      <c r="Q33" s="6"/>
      <c r="R33" s="6"/>
      <c r="S33" s="6"/>
      <c r="T33" s="6"/>
      <c r="U33" s="6"/>
    </row>
    <row r="34" spans="1:25" s="18" customFormat="1" x14ac:dyDescent="0.4">
      <c r="A34" s="1" t="s">
        <v>342</v>
      </c>
      <c r="B34" s="32"/>
      <c r="C34" s="19"/>
      <c r="D34" s="19"/>
    </row>
    <row r="35" spans="1:25" s="18" customFormat="1" ht="100.2" customHeight="1" x14ac:dyDescent="0.4">
      <c r="A35" s="100" t="s">
        <v>165</v>
      </c>
      <c r="B35" s="348" t="s">
        <v>320</v>
      </c>
      <c r="C35" s="348" t="s">
        <v>321</v>
      </c>
      <c r="D35" s="348" t="s">
        <v>322</v>
      </c>
      <c r="E35" s="349" t="s">
        <v>323</v>
      </c>
      <c r="F35" s="349" t="s">
        <v>324</v>
      </c>
      <c r="G35" s="349" t="s">
        <v>325</v>
      </c>
      <c r="H35" s="349" t="s">
        <v>326</v>
      </c>
      <c r="I35" s="349" t="s">
        <v>327</v>
      </c>
      <c r="J35" s="349" t="s">
        <v>328</v>
      </c>
      <c r="K35" s="349" t="s">
        <v>329</v>
      </c>
      <c r="L35" s="349" t="s">
        <v>330</v>
      </c>
      <c r="M35" s="349" t="s">
        <v>331</v>
      </c>
      <c r="N35" s="349" t="s">
        <v>332</v>
      </c>
    </row>
    <row r="36" spans="1:25" s="1" customFormat="1" x14ac:dyDescent="0.4">
      <c r="A36" s="72" t="s">
        <v>357</v>
      </c>
      <c r="B36" s="272" t="s">
        <v>300</v>
      </c>
      <c r="C36" s="272" t="s">
        <v>300</v>
      </c>
      <c r="D36" s="272" t="s">
        <v>300</v>
      </c>
      <c r="E36" s="272" t="s">
        <v>300</v>
      </c>
      <c r="F36" s="272" t="s">
        <v>300</v>
      </c>
      <c r="G36" s="272" t="s">
        <v>300</v>
      </c>
      <c r="H36" s="272" t="s">
        <v>300</v>
      </c>
      <c r="I36" s="272" t="s">
        <v>300</v>
      </c>
      <c r="J36" s="272" t="s">
        <v>300</v>
      </c>
      <c r="K36" s="272" t="s">
        <v>300</v>
      </c>
      <c r="L36" s="272" t="s">
        <v>300</v>
      </c>
      <c r="M36" s="272" t="s">
        <v>300</v>
      </c>
      <c r="N36" s="273" t="s">
        <v>300</v>
      </c>
      <c r="O36" s="33"/>
      <c r="P36" s="33"/>
      <c r="Q36" s="33"/>
      <c r="R36" s="33"/>
      <c r="S36" s="33"/>
      <c r="T36" s="33"/>
      <c r="U36" s="33"/>
      <c r="V36" s="33"/>
      <c r="W36" s="33"/>
      <c r="X36" s="33"/>
    </row>
    <row r="37" spans="1:25" s="1" customFormat="1" x14ac:dyDescent="0.4">
      <c r="A37" s="41" t="s">
        <v>358</v>
      </c>
      <c r="B37" s="268" t="s">
        <v>300</v>
      </c>
      <c r="C37" s="268" t="s">
        <v>300</v>
      </c>
      <c r="D37" s="268" t="s">
        <v>300</v>
      </c>
      <c r="E37" s="83">
        <f>IF('Inputs - Constant'!$C$55&gt;0,'Inputs - Constant'!C55,'Inputs - Constant'!$B$55)</f>
        <v>12614.400000000001</v>
      </c>
      <c r="F37" s="83">
        <f>E37*(1+'Inputs - Constant'!$B$51)</f>
        <v>13245.120000000003</v>
      </c>
      <c r="G37" s="83">
        <f>F37*(1+'Inputs - Constant'!$B$51)</f>
        <v>13907.376000000004</v>
      </c>
      <c r="H37" s="83">
        <f>G37*(1+'Inputs - Constant'!$B$51)</f>
        <v>14602.744800000004</v>
      </c>
      <c r="I37" s="83">
        <f>H37*(1+'Inputs - Constant'!$B$51)</f>
        <v>15332.882040000004</v>
      </c>
      <c r="J37" s="83">
        <f>I37*(1+'Inputs - Constant'!$B$51)</f>
        <v>16099.526142000004</v>
      </c>
      <c r="K37" s="83">
        <f>J37*(1+'Inputs - Constant'!$B$51)</f>
        <v>16904.502449100004</v>
      </c>
      <c r="L37" s="83">
        <f>K37*(1+'Inputs - Constant'!$B$51)</f>
        <v>17749.727571555006</v>
      </c>
      <c r="M37" s="83">
        <f>L37*(1+'Inputs - Constant'!$B$51)</f>
        <v>18637.213950132758</v>
      </c>
      <c r="N37" s="274">
        <f>M37*(1+'Inputs - Constant'!$B$51)</f>
        <v>19569.074647639398</v>
      </c>
      <c r="O37" s="400"/>
      <c r="P37" s="400"/>
      <c r="Q37" s="400"/>
      <c r="R37" s="400"/>
      <c r="S37" s="400"/>
      <c r="T37" s="400"/>
      <c r="U37" s="400"/>
      <c r="V37" s="10"/>
      <c r="W37" s="10"/>
      <c r="X37" s="10"/>
    </row>
    <row r="38" spans="1:25" s="1" customFormat="1" x14ac:dyDescent="0.4">
      <c r="A38" s="41" t="s">
        <v>359</v>
      </c>
      <c r="B38" s="268" t="s">
        <v>300</v>
      </c>
      <c r="C38" s="268" t="s">
        <v>300</v>
      </c>
      <c r="D38" s="268" t="s">
        <v>300</v>
      </c>
      <c r="E38" s="93"/>
      <c r="F38" s="93"/>
      <c r="G38" s="93"/>
      <c r="H38" s="93"/>
      <c r="I38" s="93"/>
      <c r="J38" s="93"/>
      <c r="K38" s="93"/>
      <c r="L38" s="93"/>
      <c r="M38" s="93"/>
      <c r="N38" s="275"/>
      <c r="O38" s="50"/>
      <c r="P38" s="50"/>
      <c r="Q38" s="50"/>
      <c r="R38" s="50"/>
      <c r="S38" s="50"/>
      <c r="T38" s="50"/>
      <c r="U38" s="50"/>
      <c r="V38" s="10"/>
      <c r="W38" s="10"/>
      <c r="X38" s="10"/>
    </row>
    <row r="39" spans="1:25" s="1" customFormat="1" ht="45.6" x14ac:dyDescent="0.4">
      <c r="A39" s="41" t="s">
        <v>360</v>
      </c>
      <c r="B39" s="268" t="s">
        <v>300</v>
      </c>
      <c r="C39" s="268" t="s">
        <v>300</v>
      </c>
      <c r="D39" s="268" t="s">
        <v>300</v>
      </c>
      <c r="E39" s="84">
        <v>25</v>
      </c>
      <c r="F39" s="84">
        <v>25</v>
      </c>
      <c r="G39" s="84">
        <v>25</v>
      </c>
      <c r="H39" s="84">
        <v>25</v>
      </c>
      <c r="I39" s="84">
        <v>25</v>
      </c>
      <c r="J39" s="84">
        <v>25</v>
      </c>
      <c r="K39" s="84">
        <v>25</v>
      </c>
      <c r="L39" s="84">
        <v>25</v>
      </c>
      <c r="M39" s="84">
        <v>25</v>
      </c>
      <c r="N39" s="276">
        <v>25</v>
      </c>
      <c r="O39" s="10"/>
      <c r="P39" s="10"/>
      <c r="Q39" s="10"/>
      <c r="R39" s="10"/>
      <c r="S39" s="10"/>
      <c r="T39" s="10"/>
      <c r="U39" s="10"/>
      <c r="V39" s="10"/>
      <c r="W39" s="10"/>
      <c r="X39" s="10"/>
    </row>
    <row r="40" spans="1:25" x14ac:dyDescent="0.4">
      <c r="A40" s="58" t="s">
        <v>361</v>
      </c>
      <c r="B40" s="268" t="s">
        <v>300</v>
      </c>
      <c r="C40" s="268" t="s">
        <v>300</v>
      </c>
      <c r="D40" s="268" t="s">
        <v>300</v>
      </c>
      <c r="E40" s="85">
        <v>0</v>
      </c>
      <c r="F40" s="65">
        <f>E40*(1+'Inputs - Constant'!$B$76)</f>
        <v>0</v>
      </c>
      <c r="G40" s="65">
        <f>F40*(1+'Inputs - Constant'!$B$76)</f>
        <v>0</v>
      </c>
      <c r="H40" s="65">
        <f>G40*(1+'Inputs - Constant'!$B$76)</f>
        <v>0</v>
      </c>
      <c r="I40" s="65">
        <f>H40*(1+'Inputs - Constant'!$B$76)</f>
        <v>0</v>
      </c>
      <c r="J40" s="65">
        <f>I40*(1+'Inputs - Constant'!$B$76)</f>
        <v>0</v>
      </c>
      <c r="K40" s="65">
        <f>J40*(1+'Inputs - Constant'!$B$76)</f>
        <v>0</v>
      </c>
      <c r="L40" s="65">
        <f>K40*(1+'Inputs - Constant'!$B$76)</f>
        <v>0</v>
      </c>
      <c r="M40" s="65">
        <f>L40*(1+'Inputs - Constant'!$B$76)</f>
        <v>0</v>
      </c>
      <c r="N40" s="277">
        <f>M40*(1+'Inputs - Constant'!$B$76)</f>
        <v>0</v>
      </c>
      <c r="W40" s="18"/>
      <c r="X40" s="18"/>
    </row>
    <row r="41" spans="1:25" ht="49.5" customHeight="1" x14ac:dyDescent="0.4">
      <c r="A41" s="58" t="s">
        <v>362</v>
      </c>
      <c r="B41" s="268" t="s">
        <v>300</v>
      </c>
      <c r="C41" s="268" t="s">
        <v>300</v>
      </c>
      <c r="D41" s="268" t="s">
        <v>300</v>
      </c>
      <c r="E41" s="85">
        <v>0</v>
      </c>
      <c r="F41" s="65">
        <f>E41*(1+'Inputs - Constant'!$B$78)</f>
        <v>0</v>
      </c>
      <c r="G41" s="65">
        <f>F41*(1+'Inputs - Constant'!$B$78)</f>
        <v>0</v>
      </c>
      <c r="H41" s="65">
        <f>G41*(1+'Inputs - Constant'!$B$78)</f>
        <v>0</v>
      </c>
      <c r="I41" s="65">
        <f>H41*(1+'Inputs - Constant'!$B$78)</f>
        <v>0</v>
      </c>
      <c r="J41" s="65">
        <f>I41*(1+'Inputs - Constant'!$B$78)</f>
        <v>0</v>
      </c>
      <c r="K41" s="65">
        <f>J41*(1+'Inputs - Constant'!$B$78)</f>
        <v>0</v>
      </c>
      <c r="L41" s="65">
        <f>K41*(1+'Inputs - Constant'!$B$78)</f>
        <v>0</v>
      </c>
      <c r="M41" s="65">
        <f>L41*(1+'Inputs - Constant'!$B$78)</f>
        <v>0</v>
      </c>
      <c r="N41" s="277">
        <f>M41*(1+'Inputs - Constant'!$B$78)</f>
        <v>0</v>
      </c>
      <c r="W41" s="18"/>
      <c r="X41" s="18"/>
      <c r="Y41" s="18"/>
    </row>
    <row r="42" spans="1:25" ht="48" customHeight="1" x14ac:dyDescent="0.4">
      <c r="A42" s="58" t="s">
        <v>363</v>
      </c>
      <c r="B42" s="268" t="s">
        <v>300</v>
      </c>
      <c r="C42" s="268" t="s">
        <v>300</v>
      </c>
      <c r="D42" s="268" t="s">
        <v>300</v>
      </c>
      <c r="E42" s="65">
        <f>Outputs!E57</f>
        <v>122258.96189999999</v>
      </c>
      <c r="F42" s="65">
        <f>Outputs!F57</f>
        <v>131581.20774487496</v>
      </c>
      <c r="G42" s="65">
        <f>Outputs!G57</f>
        <v>141614.27483542167</v>
      </c>
      <c r="H42" s="65">
        <f>Outputs!H57</f>
        <v>152412.36329162258</v>
      </c>
      <c r="I42" s="65">
        <f>Outputs!I57</f>
        <v>164033.80599260874</v>
      </c>
      <c r="J42" s="65">
        <f>Outputs!J57</f>
        <v>176541.38369954514</v>
      </c>
      <c r="K42" s="65">
        <f>Outputs!K57</f>
        <v>190002.66420663544</v>
      </c>
      <c r="L42" s="65">
        <f>Outputs!L57</f>
        <v>204490.36735239139</v>
      </c>
      <c r="M42" s="65">
        <f>Outputs!M57</f>
        <v>220082.75786301124</v>
      </c>
      <c r="N42" s="278">
        <f>Outputs!N57</f>
        <v>236864.06815006587</v>
      </c>
      <c r="W42" s="18"/>
      <c r="X42" s="18"/>
      <c r="Y42" s="18"/>
    </row>
    <row r="43" spans="1:25" ht="47.25" customHeight="1" x14ac:dyDescent="0.4">
      <c r="A43" s="260" t="s">
        <v>364</v>
      </c>
      <c r="B43" s="267" t="s">
        <v>300</v>
      </c>
      <c r="C43" s="267" t="s">
        <v>300</v>
      </c>
      <c r="D43" s="267" t="s">
        <v>300</v>
      </c>
      <c r="E43" s="270"/>
      <c r="F43" s="270"/>
      <c r="G43" s="270"/>
      <c r="H43" s="270"/>
      <c r="I43" s="270"/>
      <c r="J43" s="270"/>
      <c r="K43" s="270"/>
      <c r="L43" s="270"/>
      <c r="M43" s="270"/>
      <c r="N43" s="271"/>
      <c r="O43" s="399" t="s">
        <v>35</v>
      </c>
      <c r="P43" s="399"/>
      <c r="Q43" s="399"/>
      <c r="R43" s="399"/>
      <c r="S43" s="399"/>
      <c r="T43" s="399"/>
      <c r="U43" s="399"/>
      <c r="W43" s="18"/>
      <c r="X43" s="18"/>
      <c r="Y43" s="18"/>
    </row>
    <row r="44" spans="1:25" ht="21" customHeight="1" x14ac:dyDescent="0.4">
      <c r="A44" s="1" t="s">
        <v>342</v>
      </c>
      <c r="B44" s="44"/>
      <c r="C44" s="45"/>
      <c r="D44" s="45"/>
      <c r="E44" s="45"/>
      <c r="F44" s="45"/>
      <c r="G44" s="45"/>
      <c r="H44" s="45"/>
      <c r="I44" s="45"/>
      <c r="J44" s="45"/>
      <c r="K44" s="45"/>
      <c r="L44" s="43"/>
      <c r="M44" s="43"/>
      <c r="N44" s="43"/>
      <c r="O44" s="43"/>
      <c r="P44" s="43"/>
      <c r="Q44" s="43"/>
      <c r="R44" s="43"/>
    </row>
    <row r="45" spans="1:25" s="70" customFormat="1" ht="30" x14ac:dyDescent="0.5">
      <c r="A45" s="97" t="s">
        <v>205</v>
      </c>
      <c r="B45" s="69"/>
      <c r="C45" s="69"/>
      <c r="D45" s="69"/>
      <c r="E45" s="69"/>
      <c r="F45" s="69"/>
      <c r="G45" s="69"/>
      <c r="H45" s="69"/>
      <c r="I45" s="69"/>
      <c r="J45" s="69"/>
      <c r="K45" s="69"/>
      <c r="L45" s="69"/>
      <c r="M45" s="69"/>
      <c r="N45" s="69"/>
      <c r="O45" s="69"/>
      <c r="P45" s="69"/>
      <c r="Q45" s="69"/>
      <c r="R45" s="69"/>
      <c r="S45" s="69"/>
      <c r="T45" s="69"/>
      <c r="U45" s="69"/>
      <c r="V45" s="69"/>
      <c r="W45" s="69"/>
    </row>
    <row r="46" spans="1:25" ht="21" customHeight="1" x14ac:dyDescent="0.4">
      <c r="A46" s="1" t="s">
        <v>342</v>
      </c>
      <c r="B46" s="44"/>
      <c r="C46" s="45"/>
      <c r="D46" s="45"/>
      <c r="E46" s="45"/>
      <c r="F46" s="45"/>
      <c r="G46" s="45"/>
      <c r="H46" s="45"/>
      <c r="I46" s="45"/>
      <c r="J46" s="45"/>
      <c r="K46" s="45"/>
      <c r="L46" s="43"/>
      <c r="M46" s="43"/>
      <c r="N46" s="43"/>
      <c r="O46" s="43"/>
      <c r="P46" s="43"/>
      <c r="Q46" s="43"/>
      <c r="R46" s="43"/>
    </row>
    <row r="47" spans="1:25" ht="108.6" customHeight="1" x14ac:dyDescent="0.4">
      <c r="A47" s="100" t="s">
        <v>43</v>
      </c>
      <c r="B47" s="348" t="s">
        <v>320</v>
      </c>
      <c r="C47" s="348" t="s">
        <v>321</v>
      </c>
      <c r="D47" s="348" t="s">
        <v>322</v>
      </c>
      <c r="E47" s="349" t="s">
        <v>323</v>
      </c>
      <c r="F47" s="349" t="s">
        <v>324</v>
      </c>
      <c r="G47" s="349" t="s">
        <v>325</v>
      </c>
      <c r="H47" s="349" t="s">
        <v>326</v>
      </c>
      <c r="I47" s="349" t="s">
        <v>327</v>
      </c>
      <c r="J47" s="349" t="s">
        <v>328</v>
      </c>
      <c r="K47" s="349" t="s">
        <v>329</v>
      </c>
      <c r="L47" s="349" t="s">
        <v>330</v>
      </c>
      <c r="M47" s="349" t="s">
        <v>331</v>
      </c>
      <c r="N47" s="349" t="s">
        <v>332</v>
      </c>
      <c r="O47" s="43"/>
      <c r="P47" s="43"/>
      <c r="Q47" s="43"/>
      <c r="R47" s="43"/>
      <c r="S47" s="43"/>
      <c r="T47" s="43"/>
      <c r="U47" s="43"/>
      <c r="W47" s="18"/>
      <c r="X47" s="18"/>
      <c r="Y47" s="18"/>
    </row>
    <row r="48" spans="1:25" ht="68.400000000000006" x14ac:dyDescent="0.4">
      <c r="A48" s="160" t="s">
        <v>166</v>
      </c>
      <c r="B48" s="267" t="s">
        <v>300</v>
      </c>
      <c r="C48" s="267" t="s">
        <v>300</v>
      </c>
      <c r="D48" s="267" t="s">
        <v>300</v>
      </c>
      <c r="E48" s="279">
        <v>0.5</v>
      </c>
      <c r="F48" s="331">
        <f>$E$48</f>
        <v>0.5</v>
      </c>
      <c r="G48" s="331">
        <f t="shared" ref="G48:N48" si="2">$E$48</f>
        <v>0.5</v>
      </c>
      <c r="H48" s="331">
        <f t="shared" si="2"/>
        <v>0.5</v>
      </c>
      <c r="I48" s="331">
        <f t="shared" si="2"/>
        <v>0.5</v>
      </c>
      <c r="J48" s="331">
        <f t="shared" si="2"/>
        <v>0.5</v>
      </c>
      <c r="K48" s="331">
        <f t="shared" si="2"/>
        <v>0.5</v>
      </c>
      <c r="L48" s="331">
        <f t="shared" si="2"/>
        <v>0.5</v>
      </c>
      <c r="M48" s="331">
        <f t="shared" si="2"/>
        <v>0.5</v>
      </c>
      <c r="N48" s="332">
        <f t="shared" si="2"/>
        <v>0.5</v>
      </c>
      <c r="O48" s="37"/>
      <c r="P48" s="43"/>
      <c r="Q48" s="43"/>
      <c r="R48" s="43"/>
      <c r="S48" s="43"/>
      <c r="T48" s="43"/>
      <c r="U48" s="43"/>
      <c r="W48" s="18"/>
      <c r="X48" s="18"/>
      <c r="Y48" s="18"/>
    </row>
    <row r="49" spans="1:25" x14ac:dyDescent="0.4">
      <c r="A49" s="1" t="s">
        <v>342</v>
      </c>
      <c r="B49" s="59"/>
      <c r="C49" s="59"/>
      <c r="D49" s="59"/>
      <c r="E49" s="73"/>
      <c r="F49" s="73"/>
      <c r="G49" s="73"/>
      <c r="H49" s="73"/>
      <c r="I49" s="73"/>
      <c r="J49" s="73"/>
      <c r="K49" s="73"/>
      <c r="L49" s="73"/>
      <c r="M49" s="73"/>
      <c r="N49" s="73"/>
      <c r="O49" s="37"/>
      <c r="P49" s="43"/>
      <c r="Q49" s="43"/>
      <c r="R49" s="43"/>
      <c r="S49" s="43"/>
      <c r="T49" s="43"/>
      <c r="U49" s="43"/>
      <c r="W49" s="18"/>
      <c r="X49" s="18"/>
      <c r="Y49" s="18"/>
    </row>
    <row r="50" spans="1:25" ht="96.6" customHeight="1" x14ac:dyDescent="0.4">
      <c r="A50" s="100" t="s">
        <v>54</v>
      </c>
      <c r="B50" s="348" t="s">
        <v>320</v>
      </c>
      <c r="C50" s="348" t="s">
        <v>321</v>
      </c>
      <c r="D50" s="348" t="s">
        <v>322</v>
      </c>
      <c r="E50" s="349" t="s">
        <v>323</v>
      </c>
      <c r="F50" s="349" t="s">
        <v>324</v>
      </c>
      <c r="G50" s="349" t="s">
        <v>325</v>
      </c>
      <c r="H50" s="349" t="s">
        <v>326</v>
      </c>
      <c r="I50" s="349" t="s">
        <v>327</v>
      </c>
      <c r="J50" s="349" t="s">
        <v>328</v>
      </c>
      <c r="K50" s="349" t="s">
        <v>329</v>
      </c>
      <c r="L50" s="349" t="s">
        <v>330</v>
      </c>
      <c r="M50" s="349" t="s">
        <v>331</v>
      </c>
      <c r="N50" s="349" t="s">
        <v>332</v>
      </c>
      <c r="O50"/>
      <c r="P50" s="17"/>
      <c r="Q50" s="17"/>
      <c r="R50" s="17"/>
      <c r="S50" s="17"/>
      <c r="T50" s="17"/>
      <c r="U50" s="17"/>
      <c r="V50" s="17"/>
      <c r="W50" s="17"/>
      <c r="X50" s="17"/>
      <c r="Y50" s="22"/>
    </row>
    <row r="51" spans="1:25" ht="45.6" x14ac:dyDescent="0.4">
      <c r="A51" s="36" t="s">
        <v>227</v>
      </c>
      <c r="B51" s="268" t="s">
        <v>300</v>
      </c>
      <c r="C51" s="268" t="s">
        <v>300</v>
      </c>
      <c r="D51" s="268" t="s">
        <v>300</v>
      </c>
      <c r="E51" s="86">
        <v>1.2</v>
      </c>
      <c r="F51" s="333">
        <f>$E$51</f>
        <v>1.2</v>
      </c>
      <c r="G51" s="333">
        <f t="shared" ref="G51:N51" si="3">$E$51</f>
        <v>1.2</v>
      </c>
      <c r="H51" s="333">
        <f t="shared" si="3"/>
        <v>1.2</v>
      </c>
      <c r="I51" s="333">
        <f t="shared" si="3"/>
        <v>1.2</v>
      </c>
      <c r="J51" s="333">
        <f t="shared" si="3"/>
        <v>1.2</v>
      </c>
      <c r="K51" s="333">
        <f t="shared" si="3"/>
        <v>1.2</v>
      </c>
      <c r="L51" s="333">
        <f t="shared" si="3"/>
        <v>1.2</v>
      </c>
      <c r="M51" s="333">
        <f t="shared" si="3"/>
        <v>1.2</v>
      </c>
      <c r="N51" s="334">
        <f t="shared" si="3"/>
        <v>1.2</v>
      </c>
      <c r="O51" s="399" t="s">
        <v>263</v>
      </c>
      <c r="P51" s="399"/>
      <c r="Q51" s="399"/>
      <c r="R51" s="399"/>
      <c r="S51" s="399"/>
      <c r="T51" s="399"/>
      <c r="U51" s="399"/>
      <c r="V51" s="22"/>
      <c r="W51" s="22"/>
      <c r="X51" s="22"/>
      <c r="Y51" s="22"/>
    </row>
    <row r="52" spans="1:25" ht="45.6" x14ac:dyDescent="0.4">
      <c r="A52" s="160" t="s">
        <v>167</v>
      </c>
      <c r="B52" s="267" t="s">
        <v>300</v>
      </c>
      <c r="C52" s="267" t="s">
        <v>300</v>
      </c>
      <c r="D52" s="267" t="s">
        <v>300</v>
      </c>
      <c r="E52" s="279">
        <v>0.5</v>
      </c>
      <c r="F52" s="331">
        <f>$E$52</f>
        <v>0.5</v>
      </c>
      <c r="G52" s="331">
        <f t="shared" ref="G52:N52" si="4">$E$52</f>
        <v>0.5</v>
      </c>
      <c r="H52" s="331">
        <f t="shared" si="4"/>
        <v>0.5</v>
      </c>
      <c r="I52" s="331">
        <f t="shared" si="4"/>
        <v>0.5</v>
      </c>
      <c r="J52" s="331">
        <f t="shared" si="4"/>
        <v>0.5</v>
      </c>
      <c r="K52" s="331">
        <f t="shared" si="4"/>
        <v>0.5</v>
      </c>
      <c r="L52" s="331">
        <f t="shared" si="4"/>
        <v>0.5</v>
      </c>
      <c r="M52" s="331">
        <f t="shared" si="4"/>
        <v>0.5</v>
      </c>
      <c r="N52" s="332">
        <f t="shared" si="4"/>
        <v>0.5</v>
      </c>
      <c r="O52" s="37"/>
      <c r="P52" s="22"/>
      <c r="Q52" s="22"/>
      <c r="R52" s="22"/>
      <c r="S52" s="22"/>
      <c r="T52" s="22"/>
      <c r="U52" s="22"/>
      <c r="V52" s="22"/>
      <c r="W52" s="22"/>
      <c r="X52" s="22"/>
      <c r="Y52" s="22"/>
    </row>
    <row r="53" spans="1:25" x14ac:dyDescent="0.4">
      <c r="A53" s="1" t="s">
        <v>342</v>
      </c>
      <c r="B53" s="20"/>
      <c r="C53" s="19"/>
    </row>
    <row r="54" spans="1:25" ht="104.4" customHeight="1" x14ac:dyDescent="0.4">
      <c r="A54" s="105" t="s">
        <v>222</v>
      </c>
      <c r="B54" s="348" t="s">
        <v>320</v>
      </c>
      <c r="C54" s="348" t="s">
        <v>321</v>
      </c>
      <c r="D54" s="348" t="s">
        <v>322</v>
      </c>
      <c r="E54" s="349" t="s">
        <v>323</v>
      </c>
      <c r="F54" s="349" t="s">
        <v>324</v>
      </c>
      <c r="G54" s="349" t="s">
        <v>325</v>
      </c>
      <c r="H54" s="349" t="s">
        <v>326</v>
      </c>
      <c r="I54" s="349" t="s">
        <v>327</v>
      </c>
      <c r="J54" s="349" t="s">
        <v>328</v>
      </c>
      <c r="K54" s="349" t="s">
        <v>329</v>
      </c>
      <c r="L54" s="349" t="s">
        <v>330</v>
      </c>
      <c r="M54" s="349" t="s">
        <v>331</v>
      </c>
      <c r="N54" s="349" t="s">
        <v>332</v>
      </c>
    </row>
    <row r="55" spans="1:25" ht="45.6" x14ac:dyDescent="0.4">
      <c r="A55" s="160" t="s">
        <v>226</v>
      </c>
      <c r="B55" s="267" t="s">
        <v>300</v>
      </c>
      <c r="C55" s="267" t="s">
        <v>300</v>
      </c>
      <c r="D55" s="267" t="s">
        <v>300</v>
      </c>
      <c r="E55" s="280">
        <v>0</v>
      </c>
      <c r="F55" s="280">
        <v>0</v>
      </c>
      <c r="G55" s="280">
        <v>0</v>
      </c>
      <c r="H55" s="280">
        <v>0</v>
      </c>
      <c r="I55" s="280">
        <v>0</v>
      </c>
      <c r="J55" s="280">
        <v>0</v>
      </c>
      <c r="K55" s="280">
        <v>0</v>
      </c>
      <c r="L55" s="280">
        <v>0</v>
      </c>
      <c r="M55" s="280">
        <v>0</v>
      </c>
      <c r="N55" s="281">
        <v>0</v>
      </c>
    </row>
    <row r="56" spans="1:25" x14ac:dyDescent="0.4">
      <c r="A56" s="29" t="s">
        <v>317</v>
      </c>
    </row>
  </sheetData>
  <mergeCells count="4">
    <mergeCell ref="O51:U51"/>
    <mergeCell ref="O37:U37"/>
    <mergeCell ref="O43:U43"/>
    <mergeCell ref="A4:C5"/>
  </mergeCells>
  <phoneticPr fontId="3" type="noConversion"/>
  <conditionalFormatting sqref="E17:N20">
    <cfRule type="expression" dxfId="24" priority="53">
      <formula>E$22:N$22&lt;&gt;""</formula>
    </cfRule>
  </conditionalFormatting>
  <conditionalFormatting sqref="E22:N22">
    <cfRule type="expression" dxfId="22" priority="26">
      <formula>ISBLANK(E22)</formula>
    </cfRule>
  </conditionalFormatting>
  <conditionalFormatting sqref="E37:N37">
    <cfRule type="expression" dxfId="21" priority="75">
      <formula>E$38:N$38&lt;&gt;""</formula>
    </cfRule>
  </conditionalFormatting>
  <conditionalFormatting sqref="E37:N42">
    <cfRule type="expression" dxfId="20" priority="51">
      <formula>E$43:N$43&lt;&gt;""</formula>
    </cfRule>
  </conditionalFormatting>
  <conditionalFormatting sqref="E38:N38">
    <cfRule type="expression" dxfId="19" priority="25">
      <formula>ISBLANK(E38)</formula>
    </cfRule>
  </conditionalFormatting>
  <conditionalFormatting sqref="E43:N43">
    <cfRule type="expression" dxfId="18" priority="24">
      <formula>ISBLANK(E43)</formula>
    </cfRule>
  </conditionalFormatting>
  <pageMargins left="0.7" right="0.7" top="0.75" bottom="0.75" header="0.3" footer="0.3"/>
  <pageSetup orientation="portrait" verticalDpi="0" r:id="rId1"/>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17" id="{96CF79C6-AF91-4322-B7F5-DF9366FD7E30}">
            <xm:f>'Inputs - Constant'!E$90:N$90="No"</xm:f>
            <x14:dxf>
              <font>
                <color theme="1"/>
              </font>
              <fill>
                <patternFill patternType="darkTrellis">
                  <bgColor theme="1" tint="0.499984740745262"/>
                </patternFill>
              </fill>
            </x14:dxf>
          </x14:cfRule>
          <xm:sqref>E17:N22 E26:N26 E31:N31 E37:N43 E48:N48 E51:N52 E55:N55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A96E5-2CD1-4A21-BDBF-40F2F527F9A6}">
  <sheetPr codeName="Sheet6">
    <tabColor theme="4" tint="-0.499984740745262"/>
  </sheetPr>
  <dimension ref="A1:Y83"/>
  <sheetViews>
    <sheetView showGridLines="0" zoomScale="55" zoomScaleNormal="55" workbookViewId="0">
      <pane ySplit="1" topLeftCell="A2" activePane="bottomLeft" state="frozen"/>
      <selection pane="bottomLeft"/>
    </sheetView>
  </sheetViews>
  <sheetFormatPr defaultColWidth="8.6640625" defaultRowHeight="22.8" x14ac:dyDescent="0.4"/>
  <cols>
    <col min="1" max="1" width="116.88671875" style="16" customWidth="1"/>
    <col min="2" max="2" width="28.6640625" style="16" customWidth="1"/>
    <col min="3" max="4" width="28.6640625" style="18" customWidth="1"/>
    <col min="5" max="14" width="25.5546875" style="18" customWidth="1"/>
    <col min="15" max="22" width="20.6640625" style="18" customWidth="1"/>
    <col min="23" max="16384" width="8.6640625" style="16"/>
  </cols>
  <sheetData>
    <row r="1" spans="1:22" s="1" customFormat="1" ht="56.1" customHeight="1" x14ac:dyDescent="0.4">
      <c r="A1" s="147" t="s">
        <v>33</v>
      </c>
      <c r="I1" s="2"/>
      <c r="J1" s="2"/>
      <c r="K1" s="2"/>
      <c r="L1" s="2"/>
      <c r="M1" s="2"/>
      <c r="N1" s="2"/>
      <c r="O1" s="2"/>
      <c r="P1" s="2"/>
      <c r="Q1" s="2"/>
      <c r="R1" s="2"/>
      <c r="S1" s="2"/>
      <c r="T1" s="2"/>
      <c r="U1" s="2"/>
      <c r="V1" s="2"/>
    </row>
    <row r="2" spans="1:22" ht="87.6" customHeight="1" x14ac:dyDescent="0.4">
      <c r="A2" s="352" t="s">
        <v>132</v>
      </c>
      <c r="B2" s="148"/>
      <c r="C2" s="148"/>
      <c r="D2" s="148"/>
      <c r="E2" s="189"/>
      <c r="F2" s="190"/>
    </row>
    <row r="3" spans="1:22" ht="26.1" hidden="1" customHeight="1" x14ac:dyDescent="0.4">
      <c r="A3" s="148"/>
      <c r="B3" s="148"/>
      <c r="C3" s="148"/>
      <c r="D3" s="148"/>
      <c r="E3" s="191"/>
      <c r="F3" s="192"/>
    </row>
    <row r="4" spans="1:22" ht="58.2" customHeight="1" x14ac:dyDescent="0.5">
      <c r="A4" s="155" t="str">
        <f>'Inputs - Time Series'!A12</f>
        <v>California DOT EVCI P3 Test: Run 1 (Baseline Multiple Revenue Scenario)</v>
      </c>
      <c r="E4" s="191"/>
      <c r="F4" s="23"/>
    </row>
    <row r="5" spans="1:22" s="1" customFormat="1" ht="23.7" customHeight="1" x14ac:dyDescent="0.4">
      <c r="A5" s="1" t="s">
        <v>342</v>
      </c>
      <c r="C5" s="2"/>
      <c r="D5" s="2"/>
      <c r="E5" s="2"/>
      <c r="F5" s="2"/>
      <c r="G5" s="2"/>
      <c r="H5" s="156"/>
      <c r="I5" s="8"/>
      <c r="J5" s="2"/>
      <c r="K5" s="2"/>
      <c r="L5" s="2"/>
      <c r="M5" s="2"/>
      <c r="N5" s="2"/>
      <c r="O5" s="2"/>
      <c r="P5" s="2"/>
      <c r="Q5" s="2"/>
      <c r="R5" s="2"/>
      <c r="S5" s="2"/>
      <c r="T5" s="2"/>
      <c r="U5" s="2"/>
      <c r="V5" s="2"/>
    </row>
    <row r="6" spans="1:22" s="5" customFormat="1" ht="30" x14ac:dyDescent="0.5">
      <c r="A6" s="157" t="s">
        <v>82</v>
      </c>
      <c r="B6" s="4"/>
      <c r="C6" s="6"/>
      <c r="D6" s="6"/>
      <c r="E6" s="6"/>
      <c r="F6" s="6"/>
      <c r="G6" s="6"/>
      <c r="H6" s="6"/>
      <c r="I6" s="6"/>
      <c r="J6" s="6"/>
      <c r="K6" s="6"/>
      <c r="L6" s="6"/>
      <c r="M6" s="6"/>
      <c r="N6" s="6"/>
      <c r="O6" s="6"/>
      <c r="P6" s="6"/>
      <c r="Q6" s="6"/>
      <c r="R6" s="6"/>
      <c r="S6" s="6"/>
      <c r="T6" s="6"/>
      <c r="U6" s="6"/>
      <c r="V6" s="6"/>
    </row>
    <row r="7" spans="1:22" s="18" customFormat="1" x14ac:dyDescent="0.4">
      <c r="A7" s="1" t="s">
        <v>342</v>
      </c>
      <c r="B7" s="19"/>
      <c r="C7" s="19"/>
      <c r="D7" s="19"/>
    </row>
    <row r="8" spans="1:22" s="375" customFormat="1" ht="68.400000000000006" x14ac:dyDescent="0.4">
      <c r="A8" s="105" t="s">
        <v>180</v>
      </c>
      <c r="B8" s="340" t="s">
        <v>320</v>
      </c>
      <c r="C8" s="340" t="s">
        <v>321</v>
      </c>
      <c r="D8" s="340" t="s">
        <v>322</v>
      </c>
      <c r="E8" s="349" t="s">
        <v>323</v>
      </c>
      <c r="F8" s="349" t="s">
        <v>324</v>
      </c>
      <c r="G8" s="349" t="s">
        <v>325</v>
      </c>
      <c r="H8" s="349" t="s">
        <v>326</v>
      </c>
      <c r="I8" s="349" t="s">
        <v>327</v>
      </c>
      <c r="J8" s="349" t="s">
        <v>328</v>
      </c>
      <c r="K8" s="349" t="s">
        <v>329</v>
      </c>
      <c r="L8" s="349" t="s">
        <v>330</v>
      </c>
      <c r="M8" s="349" t="s">
        <v>331</v>
      </c>
      <c r="N8" s="349" t="s">
        <v>332</v>
      </c>
    </row>
    <row r="9" spans="1:22" s="18" customFormat="1" x14ac:dyDescent="0.4">
      <c r="A9" s="35" t="s">
        <v>95</v>
      </c>
      <c r="B9" s="107">
        <f>IF('Inputs - Constant'!$C$19&gt;0,'Inputs - Constant'!$C$19,SUM('Inputs - Constant'!$B$19,'Inputs - Constant'!$B$20))*'Inputs - Constant'!B26</f>
        <v>650000</v>
      </c>
      <c r="C9" s="107">
        <f>IF('Inputs - Constant'!$C$19&gt;0,'Inputs - Constant'!$C$19,SUM('Inputs - Constant'!$B$19,'Inputs - Constant'!$B$20))*'Inputs - Constant'!C26</f>
        <v>325000</v>
      </c>
      <c r="D9" s="107">
        <f>IF('Inputs - Constant'!$C$19&gt;0,'Inputs - Constant'!$C$19,SUM('Inputs - Constant'!$B$19,'Inputs - Constant'!$B$20))*'Inputs - Constant'!D26</f>
        <v>325000</v>
      </c>
      <c r="E9" s="268" t="s">
        <v>300</v>
      </c>
      <c r="F9" s="268" t="s">
        <v>300</v>
      </c>
      <c r="G9" s="268" t="s">
        <v>300</v>
      </c>
      <c r="H9" s="268" t="s">
        <v>300</v>
      </c>
      <c r="I9" s="268" t="s">
        <v>300</v>
      </c>
      <c r="J9" s="268" t="s">
        <v>300</v>
      </c>
      <c r="K9" s="268" t="s">
        <v>300</v>
      </c>
      <c r="L9" s="268" t="s">
        <v>300</v>
      </c>
      <c r="M9" s="268" t="s">
        <v>300</v>
      </c>
      <c r="N9" s="284" t="s">
        <v>300</v>
      </c>
    </row>
    <row r="10" spans="1:22" s="18" customFormat="1" x14ac:dyDescent="0.4">
      <c r="A10" s="35" t="s">
        <v>316</v>
      </c>
      <c r="B10" s="268" t="s">
        <v>300</v>
      </c>
      <c r="C10" s="268" t="s">
        <v>300</v>
      </c>
      <c r="D10" s="268" t="s">
        <v>300</v>
      </c>
      <c r="E10" s="108">
        <f>IF('Inputs - Constant'!E90="Yes",(IF('Inputs - Time Series'!E22&lt;&gt;"",'Inputs - Time Series'!E22,'Inputs - Time Series'!E17))+E80,0)</f>
        <v>100000</v>
      </c>
      <c r="F10" s="108">
        <f>IF('Inputs - Constant'!F90="Yes",(IF('Inputs - Time Series'!F22&lt;&gt;"",'Inputs - Time Series'!F22,'Inputs - Time Series'!F17))+F80,0)</f>
        <v>105062.5</v>
      </c>
      <c r="G10" s="108">
        <f>IF('Inputs - Constant'!G90="Yes",(IF('Inputs - Time Series'!G22&lt;&gt;"",'Inputs - Time Series'!G22,'Inputs - Time Series'!G17))+G80,0)</f>
        <v>110446.95312499999</v>
      </c>
      <c r="H10" s="108">
        <f>IF('Inputs - Constant'!H90="Yes",(IF('Inputs - Time Series'!H22&lt;&gt;"",'Inputs - Time Series'!H22,'Inputs - Time Series'!H17))+H80,0)</f>
        <v>116176.30673828122</v>
      </c>
      <c r="I10" s="108">
        <f>IF('Inputs - Constant'!I90="Yes",(IF('Inputs - Time Series'!I22&lt;&gt;"",'Inputs - Time Series'!I22,'Inputs - Time Series'!I17))+I80,0)</f>
        <v>122275.21790051265</v>
      </c>
      <c r="J10" s="108">
        <f>IF('Inputs - Constant'!J90="Yes",(IF('Inputs - Time Series'!J22&lt;&gt;"",'Inputs - Time Series'!J22,'Inputs - Time Series'!J17))+J80,0)</f>
        <v>128770.18273320017</v>
      </c>
      <c r="K10" s="108">
        <f>IF('Inputs - Constant'!K90="Yes",(IF('Inputs - Time Series'!K22&lt;&gt;"",'Inputs - Time Series'!K22,'Inputs - Time Series'!K17))+K80,0)</f>
        <v>135689.67562107445</v>
      </c>
      <c r="L10" s="108">
        <f>IF('Inputs - Constant'!L90="Yes",(IF('Inputs - Time Series'!L22&lt;&gt;"",'Inputs - Time Series'!L22,'Inputs - Time Series'!L17))+L80,0)</f>
        <v>143064.29900301082</v>
      </c>
      <c r="M10" s="108">
        <f>IF('Inputs - Constant'!M90="Yes",(IF('Inputs - Time Series'!M22&lt;&gt;"",'Inputs - Time Series'!M22,'Inputs - Time Series'!M17))+M80,0)</f>
        <v>150926.94455821562</v>
      </c>
      <c r="N10" s="285">
        <f>IF('Inputs - Constant'!N90="Yes",(IF('Inputs - Time Series'!N22&lt;&gt;"",'Inputs - Time Series'!N22,'Inputs - Time Series'!N17))+N79,0)</f>
        <v>159312.96665591036</v>
      </c>
    </row>
    <row r="11" spans="1:22" s="18" customFormat="1" x14ac:dyDescent="0.4">
      <c r="A11" s="38" t="s">
        <v>209</v>
      </c>
      <c r="B11" s="268" t="s">
        <v>300</v>
      </c>
      <c r="C11" s="268" t="s">
        <v>300</v>
      </c>
      <c r="D11" s="268" t="s">
        <v>300</v>
      </c>
      <c r="E11" s="108">
        <f>IF('Inputs - Constant'!E90="Yes",'Inputs - Time Series'!E26,0)</f>
        <v>0</v>
      </c>
      <c r="F11" s="108">
        <f>IF('Inputs - Constant'!F90="Yes",'Inputs - Time Series'!F26,0)</f>
        <v>0</v>
      </c>
      <c r="G11" s="108">
        <f>IF('Inputs - Constant'!G90="Yes",'Inputs - Time Series'!G26,0)</f>
        <v>0</v>
      </c>
      <c r="H11" s="108">
        <f>IF('Inputs - Constant'!H90="Yes",'Inputs - Time Series'!H26,0)</f>
        <v>0</v>
      </c>
      <c r="I11" s="108">
        <f>IF('Inputs - Constant'!I90="Yes",'Inputs - Time Series'!I26,0)</f>
        <v>50000</v>
      </c>
      <c r="J11" s="108">
        <f>IF('Inputs - Constant'!J90="Yes",'Inputs - Time Series'!J26,0)</f>
        <v>0</v>
      </c>
      <c r="K11" s="108">
        <f>IF('Inputs - Constant'!K90="Yes",'Inputs - Time Series'!K26,0)</f>
        <v>0</v>
      </c>
      <c r="L11" s="108">
        <f>IF('Inputs - Constant'!L90="Yes",'Inputs - Time Series'!L26,0)</f>
        <v>0</v>
      </c>
      <c r="M11" s="108">
        <f>IF('Inputs - Constant'!M90="Yes",'Inputs - Time Series'!M26,0)</f>
        <v>0</v>
      </c>
      <c r="N11" s="285">
        <f>IF('Inputs - Constant'!N90="Yes",'Inputs - Time Series'!N26,0)</f>
        <v>0</v>
      </c>
    </row>
    <row r="12" spans="1:22" s="18" customFormat="1" x14ac:dyDescent="0.4">
      <c r="A12" s="252" t="s">
        <v>103</v>
      </c>
      <c r="B12" s="287">
        <f>B9</f>
        <v>650000</v>
      </c>
      <c r="C12" s="287">
        <f>C9</f>
        <v>325000</v>
      </c>
      <c r="D12" s="287">
        <f t="shared" ref="D12" si="0">D9</f>
        <v>325000</v>
      </c>
      <c r="E12" s="288">
        <f>SUM(E10:E11)</f>
        <v>100000</v>
      </c>
      <c r="F12" s="288">
        <f t="shared" ref="F12:N12" si="1">SUM(F10:F11)</f>
        <v>105062.5</v>
      </c>
      <c r="G12" s="288">
        <f t="shared" si="1"/>
        <v>110446.95312499999</v>
      </c>
      <c r="H12" s="288">
        <f t="shared" si="1"/>
        <v>116176.30673828122</v>
      </c>
      <c r="I12" s="288">
        <f t="shared" si="1"/>
        <v>172275.21790051265</v>
      </c>
      <c r="J12" s="288">
        <f t="shared" si="1"/>
        <v>128770.18273320017</v>
      </c>
      <c r="K12" s="288">
        <f t="shared" si="1"/>
        <v>135689.67562107445</v>
      </c>
      <c r="L12" s="288">
        <f t="shared" si="1"/>
        <v>143064.29900301082</v>
      </c>
      <c r="M12" s="288">
        <f t="shared" si="1"/>
        <v>150926.94455821562</v>
      </c>
      <c r="N12" s="289">
        <f t="shared" si="1"/>
        <v>159312.96665591036</v>
      </c>
    </row>
    <row r="13" spans="1:22" s="18" customFormat="1" x14ac:dyDescent="0.4">
      <c r="A13" s="1" t="s">
        <v>342</v>
      </c>
      <c r="C13" s="59"/>
      <c r="D13" s="59"/>
      <c r="E13" s="177"/>
      <c r="F13" s="177"/>
      <c r="G13" s="177"/>
      <c r="H13" s="177"/>
      <c r="I13" s="177"/>
      <c r="J13" s="177"/>
      <c r="K13" s="177"/>
      <c r="L13" s="177"/>
      <c r="M13" s="177"/>
      <c r="N13" s="177"/>
    </row>
    <row r="14" spans="1:22" s="18" customFormat="1" ht="24.6" x14ac:dyDescent="0.4">
      <c r="A14" s="110" t="s">
        <v>108</v>
      </c>
      <c r="B14" s="110" t="s">
        <v>147</v>
      </c>
      <c r="C14" s="59"/>
      <c r="D14" s="59"/>
      <c r="E14" s="177"/>
      <c r="F14" s="177"/>
      <c r="G14" s="177"/>
      <c r="H14" s="177"/>
      <c r="I14" s="177"/>
      <c r="J14" s="177"/>
      <c r="K14" s="177"/>
      <c r="L14" s="34"/>
      <c r="M14" s="177"/>
      <c r="N14" s="177"/>
    </row>
    <row r="15" spans="1:22" s="18" customFormat="1" x14ac:dyDescent="0.4">
      <c r="A15" s="35" t="s">
        <v>110</v>
      </c>
      <c r="B15" s="111">
        <f>SUMPRODUCT(B12:D12,DCF!B15:D15)</f>
        <v>1214049.5867768594</v>
      </c>
      <c r="C15" s="59"/>
      <c r="D15" s="193"/>
      <c r="E15" s="177"/>
      <c r="F15" s="177"/>
      <c r="H15" s="177"/>
      <c r="I15" s="177"/>
      <c r="J15" s="177"/>
      <c r="K15" s="177"/>
      <c r="M15" s="177"/>
      <c r="N15" s="177"/>
    </row>
    <row r="16" spans="1:22" s="18" customFormat="1" x14ac:dyDescent="0.4">
      <c r="A16" s="112" t="s">
        <v>315</v>
      </c>
      <c r="B16" s="107">
        <f>SUMPRODUCT(E10:N10,DCF!E15:N15)</f>
        <v>620230.85014907899</v>
      </c>
      <c r="C16" s="59"/>
      <c r="E16" s="177"/>
      <c r="F16" s="177"/>
      <c r="H16" s="177"/>
      <c r="I16" s="177"/>
      <c r="J16" s="177"/>
      <c r="K16" s="177"/>
      <c r="L16" s="34"/>
      <c r="M16" s="177"/>
      <c r="N16" s="177"/>
    </row>
    <row r="17" spans="1:22" s="18" customFormat="1" x14ac:dyDescent="0.4">
      <c r="A17" s="112" t="s">
        <v>208</v>
      </c>
      <c r="B17" s="107">
        <f>SUMPRODUCT(E11:N11,DCF!E15:N15)</f>
        <v>25657.905911535323</v>
      </c>
      <c r="C17" s="59"/>
      <c r="E17" s="177"/>
      <c r="F17" s="177"/>
      <c r="H17" s="177"/>
      <c r="I17" s="177"/>
      <c r="J17" s="177"/>
      <c r="K17" s="177"/>
      <c r="L17" s="34"/>
      <c r="M17" s="177"/>
      <c r="N17" s="177"/>
    </row>
    <row r="18" spans="1:22" s="18" customFormat="1" x14ac:dyDescent="0.4">
      <c r="A18" s="252" t="s">
        <v>109</v>
      </c>
      <c r="B18" s="290">
        <f>SUM(B15:B17)</f>
        <v>1859938.3428374736</v>
      </c>
      <c r="D18" s="34"/>
    </row>
    <row r="19" spans="1:22" s="18" customFormat="1" x14ac:dyDescent="0.4">
      <c r="A19" s="1" t="s">
        <v>342</v>
      </c>
      <c r="B19" s="177"/>
    </row>
    <row r="20" spans="1:22" s="5" customFormat="1" ht="30" x14ac:dyDescent="0.5">
      <c r="A20" s="157" t="s">
        <v>94</v>
      </c>
      <c r="B20" s="4"/>
      <c r="C20" s="6"/>
      <c r="D20" s="6"/>
      <c r="E20" s="6"/>
      <c r="F20" s="6"/>
      <c r="G20" s="6"/>
      <c r="H20" s="6"/>
      <c r="I20" s="6"/>
      <c r="J20" s="6"/>
      <c r="K20" s="6"/>
      <c r="L20" s="6"/>
      <c r="M20" s="6"/>
      <c r="N20" s="6"/>
      <c r="O20" s="6"/>
      <c r="P20" s="6"/>
      <c r="Q20" s="6"/>
      <c r="R20" s="6"/>
      <c r="S20" s="6"/>
      <c r="T20" s="6"/>
      <c r="U20" s="6"/>
      <c r="V20" s="6"/>
    </row>
    <row r="21" spans="1:22" x14ac:dyDescent="0.4">
      <c r="A21" s="1" t="s">
        <v>342</v>
      </c>
      <c r="B21" s="19"/>
      <c r="V21" s="16"/>
    </row>
    <row r="22" spans="1:22" ht="28.2" x14ac:dyDescent="0.5">
      <c r="A22" s="182" t="s">
        <v>119</v>
      </c>
      <c r="B22" s="19"/>
      <c r="V22" s="16"/>
    </row>
    <row r="23" spans="1:22" x14ac:dyDescent="0.4">
      <c r="A23" s="1" t="s">
        <v>342</v>
      </c>
      <c r="B23" s="19"/>
      <c r="V23" s="16"/>
    </row>
    <row r="24" spans="1:22" ht="24.6" x14ac:dyDescent="0.4">
      <c r="A24" s="113" t="s">
        <v>169</v>
      </c>
      <c r="B24" s="114" t="s">
        <v>147</v>
      </c>
      <c r="V24" s="16"/>
    </row>
    <row r="25" spans="1:22" x14ac:dyDescent="0.4">
      <c r="A25" s="38" t="s">
        <v>111</v>
      </c>
      <c r="B25" s="115">
        <f>(SUMPRODUCT(B57:N57,DCF!B15:N15))-(SUMPRODUCT(B12:N12,DCF!B15:N15))</f>
        <v>-1025684.9516546244</v>
      </c>
      <c r="V25" s="16"/>
    </row>
    <row r="26" spans="1:22" x14ac:dyDescent="0.4">
      <c r="A26" s="250" t="s">
        <v>168</v>
      </c>
      <c r="B26" s="291">
        <f>IF(B25&gt;0,0,ABS(B25))</f>
        <v>1025684.9516546244</v>
      </c>
      <c r="V26" s="16"/>
    </row>
    <row r="27" spans="1:22" x14ac:dyDescent="0.4">
      <c r="A27" s="1" t="s">
        <v>342</v>
      </c>
      <c r="B27" s="24"/>
      <c r="C27" s="24"/>
      <c r="D27" s="24"/>
      <c r="E27" s="24"/>
      <c r="F27" s="24"/>
      <c r="G27" s="24"/>
      <c r="H27" s="24"/>
      <c r="I27" s="24"/>
      <c r="J27" s="24"/>
      <c r="K27" s="24"/>
      <c r="L27" s="24"/>
      <c r="M27" s="24"/>
      <c r="N27" s="24"/>
      <c r="V27" s="16"/>
    </row>
    <row r="28" spans="1:22" ht="68.400000000000006" x14ac:dyDescent="0.4">
      <c r="A28" s="113" t="s">
        <v>170</v>
      </c>
      <c r="B28" s="340" t="s">
        <v>320</v>
      </c>
      <c r="C28" s="340" t="s">
        <v>321</v>
      </c>
      <c r="D28" s="340" t="s">
        <v>322</v>
      </c>
      <c r="E28" s="349" t="s">
        <v>323</v>
      </c>
      <c r="F28" s="349" t="s">
        <v>324</v>
      </c>
      <c r="G28" s="349" t="s">
        <v>325</v>
      </c>
      <c r="H28" s="349" t="s">
        <v>326</v>
      </c>
      <c r="I28" s="349" t="s">
        <v>327</v>
      </c>
      <c r="J28" s="349" t="s">
        <v>328</v>
      </c>
      <c r="K28" s="349" t="s">
        <v>329</v>
      </c>
      <c r="L28" s="349" t="s">
        <v>330</v>
      </c>
      <c r="M28" s="349" t="s">
        <v>331</v>
      </c>
      <c r="N28" s="349" t="s">
        <v>332</v>
      </c>
      <c r="V28" s="16"/>
    </row>
    <row r="29" spans="1:22" x14ac:dyDescent="0.4">
      <c r="A29" s="116" t="s">
        <v>228</v>
      </c>
      <c r="B29" s="268" t="s">
        <v>300</v>
      </c>
      <c r="C29" s="268" t="s">
        <v>300</v>
      </c>
      <c r="D29" s="268" t="s">
        <v>300</v>
      </c>
      <c r="E29" s="117">
        <f>IF('Inputs - Constant'!E90="Yes",1/DCF!E15,0)</f>
        <v>1.3310000000000004</v>
      </c>
      <c r="F29" s="117">
        <f>IF('Inputs - Constant'!F90="Yes",1/DCF!F15,0)</f>
        <v>1.4641000000000004</v>
      </c>
      <c r="G29" s="117">
        <f>IF('Inputs - Constant'!G90="Yes",1/DCF!G15,0)</f>
        <v>1.6105100000000006</v>
      </c>
      <c r="H29" s="117">
        <f>IF('Inputs - Constant'!H90="Yes",1/DCF!H15,0)</f>
        <v>1.7715610000000006</v>
      </c>
      <c r="I29" s="117">
        <f>IF('Inputs - Constant'!I90="Yes",1/DCF!I15,0)</f>
        <v>1.9487171000000012</v>
      </c>
      <c r="J29" s="117">
        <f>IF('Inputs - Constant'!J90="Yes",1/DCF!J15,0)</f>
        <v>2.1435888100000011</v>
      </c>
      <c r="K29" s="117">
        <f>IF('Inputs - Constant'!K90="Yes",1/DCF!K15,0)</f>
        <v>2.3579476910000015</v>
      </c>
      <c r="L29" s="117">
        <f>IF('Inputs - Constant'!L90="Yes",1/DCF!L15,0)</f>
        <v>2.5937424601000019</v>
      </c>
      <c r="M29" s="117">
        <f>IF('Inputs - Constant'!M90="Yes",1/DCF!M15,0)</f>
        <v>2.8531167061100025</v>
      </c>
      <c r="N29" s="292">
        <f>IF('Inputs - Constant'!N90="Yes",1/DCF!N15,0)</f>
        <v>3.1384283767210026</v>
      </c>
      <c r="V29" s="16"/>
    </row>
    <row r="30" spans="1:22" x14ac:dyDescent="0.4">
      <c r="A30" s="116" t="s">
        <v>93</v>
      </c>
      <c r="B30" s="268" t="s">
        <v>300</v>
      </c>
      <c r="C30" s="268" t="s">
        <v>300</v>
      </c>
      <c r="D30" s="268" t="s">
        <v>300</v>
      </c>
      <c r="E30" s="118">
        <f>IF('Inputs - Constant'!E90="Yes",$B$26/'Inputs - Constant'!$A$84,0)</f>
        <v>102568.49516546245</v>
      </c>
      <c r="F30" s="118">
        <f>IF('Inputs - Constant'!F90="Yes",$B$26/'Inputs - Constant'!$A$84,0)</f>
        <v>102568.49516546245</v>
      </c>
      <c r="G30" s="118">
        <f>IF('Inputs - Constant'!G90="Yes",$B$26/'Inputs - Constant'!$A$84,0)</f>
        <v>102568.49516546245</v>
      </c>
      <c r="H30" s="118">
        <f>IF('Inputs - Constant'!H90="Yes",$B$26/'Inputs - Constant'!$A$84,0)</f>
        <v>102568.49516546245</v>
      </c>
      <c r="I30" s="118">
        <f>IF('Inputs - Constant'!I90="Yes",$B$26/'Inputs - Constant'!$A$84,0)</f>
        <v>102568.49516546245</v>
      </c>
      <c r="J30" s="118">
        <f>IF('Inputs - Constant'!J90="Yes",$B$26/'Inputs - Constant'!$A$84,0)</f>
        <v>102568.49516546245</v>
      </c>
      <c r="K30" s="118">
        <f>IF('Inputs - Constant'!K90="Yes",$B$26/'Inputs - Constant'!$A$84,0)</f>
        <v>102568.49516546245</v>
      </c>
      <c r="L30" s="118">
        <f>IF('Inputs - Constant'!L90="Yes",$B$26/'Inputs - Constant'!$A$84,0)</f>
        <v>102568.49516546245</v>
      </c>
      <c r="M30" s="118">
        <f>IF('Inputs - Constant'!M90="Yes",$B$26/'Inputs - Constant'!$A$84,0)</f>
        <v>102568.49516546245</v>
      </c>
      <c r="N30" s="293">
        <f>IF('Inputs - Constant'!N90="Yes",$B$26/'Inputs - Constant'!$A$84,0)</f>
        <v>102568.49516546245</v>
      </c>
      <c r="O30" s="37"/>
      <c r="V30" s="16"/>
    </row>
    <row r="31" spans="1:22" ht="23.4" thickBot="1" x14ac:dyDescent="0.45">
      <c r="A31" s="119" t="s">
        <v>112</v>
      </c>
      <c r="B31" s="282" t="s">
        <v>300</v>
      </c>
      <c r="C31" s="282" t="s">
        <v>300</v>
      </c>
      <c r="D31" s="282" t="s">
        <v>300</v>
      </c>
      <c r="E31" s="120">
        <f>E30*E29</f>
        <v>136518.66706523055</v>
      </c>
      <c r="F31" s="120">
        <f t="shared" ref="F31:N31" si="2">F30*F29</f>
        <v>150170.5337717536</v>
      </c>
      <c r="G31" s="120">
        <f t="shared" si="2"/>
        <v>165187.58714892899</v>
      </c>
      <c r="H31" s="120">
        <f t="shared" si="2"/>
        <v>181706.34586382189</v>
      </c>
      <c r="I31" s="120">
        <f t="shared" si="2"/>
        <v>199876.98045020411</v>
      </c>
      <c r="J31" s="120">
        <f t="shared" si="2"/>
        <v>219864.67849522451</v>
      </c>
      <c r="K31" s="120">
        <f t="shared" si="2"/>
        <v>241851.14634474699</v>
      </c>
      <c r="L31" s="120">
        <f t="shared" si="2"/>
        <v>266036.26097922173</v>
      </c>
      <c r="M31" s="120">
        <f t="shared" si="2"/>
        <v>292639.88707714394</v>
      </c>
      <c r="N31" s="294">
        <f t="shared" si="2"/>
        <v>321903.8757848583</v>
      </c>
      <c r="V31" s="16"/>
    </row>
    <row r="32" spans="1:22" ht="45.6" x14ac:dyDescent="0.4">
      <c r="A32" s="38" t="s">
        <v>190</v>
      </c>
      <c r="B32" s="283" t="s">
        <v>300</v>
      </c>
      <c r="C32" s="283" t="s">
        <v>300</v>
      </c>
      <c r="D32" s="283" t="s">
        <v>300</v>
      </c>
      <c r="E32" s="121">
        <f>IF('Inputs - Constant'!E90="Yes",$B$26/$B$18,0)</f>
        <v>0.55146180280893942</v>
      </c>
      <c r="F32" s="121">
        <f>IF('Inputs - Constant'!F90="Yes",$B$26/$B$18,0)</f>
        <v>0.55146180280893942</v>
      </c>
      <c r="G32" s="121">
        <f>IF('Inputs - Constant'!G90="Yes",$B$26/$B$18,0)</f>
        <v>0.55146180280893942</v>
      </c>
      <c r="H32" s="121">
        <f>IF('Inputs - Constant'!H90="Yes",$B$26/$B$18,0)</f>
        <v>0.55146180280893942</v>
      </c>
      <c r="I32" s="121">
        <f>IF('Inputs - Constant'!I90="Yes",$B$26/$B$18,0)</f>
        <v>0.55146180280893942</v>
      </c>
      <c r="J32" s="121">
        <f>IF('Inputs - Constant'!J90="Yes",$B$26/$B$18,0)</f>
        <v>0.55146180280893942</v>
      </c>
      <c r="K32" s="121">
        <f>IF('Inputs - Constant'!K90="Yes",$B$26/$B$18,0)</f>
        <v>0.55146180280893942</v>
      </c>
      <c r="L32" s="121">
        <f>IF('Inputs - Constant'!L90="Yes",$B$26/$B$18,0)</f>
        <v>0.55146180280893942</v>
      </c>
      <c r="M32" s="121">
        <f>IF('Inputs - Constant'!M90="Yes",$B$26/$B$18,0)</f>
        <v>0.55146180280893942</v>
      </c>
      <c r="N32" s="295">
        <f>IF('Inputs - Constant'!N90="Yes",$B$26/$B$18,0)</f>
        <v>0.55146180280893942</v>
      </c>
      <c r="V32" s="16"/>
    </row>
    <row r="33" spans="1:22" ht="23.4" thickBot="1" x14ac:dyDescent="0.45">
      <c r="A33" s="122" t="s">
        <v>113</v>
      </c>
      <c r="B33" s="282" t="s">
        <v>300</v>
      </c>
      <c r="C33" s="282" t="s">
        <v>300</v>
      </c>
      <c r="D33" s="282" t="s">
        <v>300</v>
      </c>
      <c r="E33" s="123">
        <f>IF('Inputs - Constant'!E90="Yes",'Inputs - Time Series'!E31,0)</f>
        <v>0.8</v>
      </c>
      <c r="F33" s="123">
        <f>IF('Inputs - Constant'!F90="Yes",'Inputs - Time Series'!F31,0)</f>
        <v>0.8</v>
      </c>
      <c r="G33" s="123">
        <f>IF('Inputs - Constant'!G90="Yes",'Inputs - Time Series'!G31,0)</f>
        <v>0.8</v>
      </c>
      <c r="H33" s="123">
        <f>IF('Inputs - Constant'!H90="Yes",'Inputs - Time Series'!H31,0)</f>
        <v>0.8</v>
      </c>
      <c r="I33" s="123">
        <f>IF('Inputs - Constant'!I90="Yes",'Inputs - Time Series'!I31,0)</f>
        <v>0.8</v>
      </c>
      <c r="J33" s="123">
        <f>IF('Inputs - Constant'!J90="Yes",'Inputs - Time Series'!J31,0)</f>
        <v>0.8</v>
      </c>
      <c r="K33" s="123">
        <f>IF('Inputs - Constant'!K90="Yes",'Inputs - Time Series'!K31,0)</f>
        <v>0.8</v>
      </c>
      <c r="L33" s="123">
        <f>IF('Inputs - Constant'!L90="Yes",'Inputs - Time Series'!L31,0)</f>
        <v>0.8</v>
      </c>
      <c r="M33" s="123">
        <f>IF('Inputs - Constant'!M90="Yes",'Inputs - Time Series'!M31,0)</f>
        <v>0.8</v>
      </c>
      <c r="N33" s="296">
        <f>IF('Inputs - Constant'!N90="Yes",'Inputs - Time Series'!N31,0)</f>
        <v>0.8</v>
      </c>
      <c r="V33" s="16"/>
    </row>
    <row r="34" spans="1:22" x14ac:dyDescent="0.4">
      <c r="A34" s="51" t="s">
        <v>140</v>
      </c>
      <c r="B34" s="283" t="s">
        <v>300</v>
      </c>
      <c r="C34" s="283" t="s">
        <v>300</v>
      </c>
      <c r="D34" s="283" t="s">
        <v>300</v>
      </c>
      <c r="E34" s="124">
        <f>IFERROR(IF($B$26&gt;0,IF(E33&gt;E32,1,E33/E32),0),0)</f>
        <v>1</v>
      </c>
      <c r="F34" s="124">
        <f t="shared" ref="F34:N34" si="3">IFERROR(IF($B$26&gt;0,IF(F33&gt;F32,1,F33/F32),0),0)</f>
        <v>1</v>
      </c>
      <c r="G34" s="124">
        <f t="shared" si="3"/>
        <v>1</v>
      </c>
      <c r="H34" s="124">
        <f t="shared" si="3"/>
        <v>1</v>
      </c>
      <c r="I34" s="124">
        <f t="shared" si="3"/>
        <v>1</v>
      </c>
      <c r="J34" s="124">
        <f t="shared" si="3"/>
        <v>1</v>
      </c>
      <c r="K34" s="124">
        <f t="shared" si="3"/>
        <v>1</v>
      </c>
      <c r="L34" s="124">
        <f t="shared" si="3"/>
        <v>1</v>
      </c>
      <c r="M34" s="124">
        <f t="shared" si="3"/>
        <v>1</v>
      </c>
      <c r="N34" s="297">
        <f t="shared" si="3"/>
        <v>1</v>
      </c>
      <c r="V34" s="16"/>
    </row>
    <row r="35" spans="1:22" x14ac:dyDescent="0.4">
      <c r="A35" s="31" t="s">
        <v>115</v>
      </c>
      <c r="B35" s="268" t="s">
        <v>300</v>
      </c>
      <c r="C35" s="268" t="s">
        <v>300</v>
      </c>
      <c r="D35" s="268" t="s">
        <v>300</v>
      </c>
      <c r="E35" s="125">
        <f>E34*E31</f>
        <v>136518.66706523055</v>
      </c>
      <c r="F35" s="125">
        <f t="shared" ref="F35:N35" si="4">F34*F31</f>
        <v>150170.5337717536</v>
      </c>
      <c r="G35" s="125">
        <f t="shared" si="4"/>
        <v>165187.58714892899</v>
      </c>
      <c r="H35" s="125">
        <f t="shared" si="4"/>
        <v>181706.34586382189</v>
      </c>
      <c r="I35" s="125">
        <f t="shared" si="4"/>
        <v>199876.98045020411</v>
      </c>
      <c r="J35" s="125">
        <f t="shared" si="4"/>
        <v>219864.67849522451</v>
      </c>
      <c r="K35" s="125">
        <f t="shared" si="4"/>
        <v>241851.14634474699</v>
      </c>
      <c r="L35" s="125">
        <f t="shared" si="4"/>
        <v>266036.26097922173</v>
      </c>
      <c r="M35" s="125">
        <f t="shared" si="4"/>
        <v>292639.88707714394</v>
      </c>
      <c r="N35" s="298">
        <f t="shared" si="4"/>
        <v>321903.8757848583</v>
      </c>
      <c r="V35" s="16"/>
    </row>
    <row r="36" spans="1:22" x14ac:dyDescent="0.4">
      <c r="A36" s="38" t="s">
        <v>144</v>
      </c>
      <c r="B36" s="268" t="s">
        <v>300</v>
      </c>
      <c r="C36" s="268" t="s">
        <v>300</v>
      </c>
      <c r="D36" s="268" t="s">
        <v>300</v>
      </c>
      <c r="E36" s="126">
        <f>IF('Inputs - Constant'!E90="Yes", IF($B$26&gt;0,(1-E34),0),0)</f>
        <v>0</v>
      </c>
      <c r="F36" s="126">
        <f>IF('Inputs - Constant'!F90="Yes", IF($B$26&gt;0,(1-F34),0),0)</f>
        <v>0</v>
      </c>
      <c r="G36" s="126">
        <f>IF('Inputs - Constant'!G90="Yes", IF($B$26&gt;0,(1-G34),0),0)</f>
        <v>0</v>
      </c>
      <c r="H36" s="126">
        <f>IF('Inputs - Constant'!H90="Yes", IF($B$26&gt;0,(1-H34),0),0)</f>
        <v>0</v>
      </c>
      <c r="I36" s="126">
        <f>IF('Inputs - Constant'!I90="Yes", IF($B$26&gt;0,(1-I34),0),0)</f>
        <v>0</v>
      </c>
      <c r="J36" s="126">
        <f>IF('Inputs - Constant'!J90="Yes", IF($B$26&gt;0,(1-J34),0),0)</f>
        <v>0</v>
      </c>
      <c r="K36" s="126">
        <f>IF('Inputs - Constant'!K90="Yes", IF($B$26&gt;0,(1-K34),0),0)</f>
        <v>0</v>
      </c>
      <c r="L36" s="126">
        <f>IF('Inputs - Constant'!L90="Yes", IF($B$26&gt;0,(1-L34),0),0)</f>
        <v>0</v>
      </c>
      <c r="M36" s="126">
        <f>IF('Inputs - Constant'!M90="Yes", IF($B$26&gt;0,(1-M34),0),0)</f>
        <v>0</v>
      </c>
      <c r="N36" s="299">
        <f>IF('Inputs - Constant'!N90="Yes", IF($B$26&gt;0,(1-N34),0),0)</f>
        <v>0</v>
      </c>
      <c r="Q36" s="194"/>
      <c r="V36" s="16"/>
    </row>
    <row r="37" spans="1:22" x14ac:dyDescent="0.4">
      <c r="A37" s="252" t="s">
        <v>114</v>
      </c>
      <c r="B37" s="267" t="s">
        <v>300</v>
      </c>
      <c r="C37" s="267" t="s">
        <v>300</v>
      </c>
      <c r="D37" s="267" t="s">
        <v>300</v>
      </c>
      <c r="E37" s="300">
        <f>E36*E31</f>
        <v>0</v>
      </c>
      <c r="F37" s="300">
        <f t="shared" ref="F37:N37" si="5">F36*F31</f>
        <v>0</v>
      </c>
      <c r="G37" s="300">
        <f t="shared" si="5"/>
        <v>0</v>
      </c>
      <c r="H37" s="300">
        <f t="shared" si="5"/>
        <v>0</v>
      </c>
      <c r="I37" s="300">
        <f t="shared" si="5"/>
        <v>0</v>
      </c>
      <c r="J37" s="300">
        <f t="shared" si="5"/>
        <v>0</v>
      </c>
      <c r="K37" s="300">
        <f t="shared" si="5"/>
        <v>0</v>
      </c>
      <c r="L37" s="300">
        <f t="shared" si="5"/>
        <v>0</v>
      </c>
      <c r="M37" s="300">
        <f t="shared" si="5"/>
        <v>0</v>
      </c>
      <c r="N37" s="301">
        <f t="shared" si="5"/>
        <v>0</v>
      </c>
      <c r="V37" s="16"/>
    </row>
    <row r="38" spans="1:22" x14ac:dyDescent="0.4">
      <c r="A38" s="1" t="s">
        <v>342</v>
      </c>
      <c r="B38" s="127"/>
      <c r="C38" s="128"/>
      <c r="D38" s="128"/>
      <c r="E38" s="129"/>
      <c r="F38" s="129"/>
      <c r="G38" s="129"/>
      <c r="H38" s="129"/>
      <c r="I38" s="129"/>
      <c r="J38" s="128"/>
      <c r="K38" s="128"/>
      <c r="L38" s="128"/>
      <c r="M38" s="128"/>
      <c r="N38" s="128"/>
      <c r="V38" s="16"/>
    </row>
    <row r="39" spans="1:22" ht="28.2" x14ac:dyDescent="0.4">
      <c r="A39" s="130" t="s">
        <v>120</v>
      </c>
      <c r="B39" s="127"/>
      <c r="C39" s="128"/>
      <c r="D39" s="128"/>
      <c r="E39" s="129"/>
      <c r="F39" s="129"/>
      <c r="G39" s="129"/>
      <c r="H39" s="129"/>
      <c r="I39" s="129"/>
      <c r="J39" s="128"/>
      <c r="K39" s="128"/>
      <c r="L39" s="128"/>
      <c r="M39" s="128"/>
      <c r="N39" s="128"/>
      <c r="V39" s="16"/>
    </row>
    <row r="40" spans="1:22" x14ac:dyDescent="0.4">
      <c r="A40" s="1" t="s">
        <v>342</v>
      </c>
      <c r="B40" s="127"/>
      <c r="C40" s="128"/>
      <c r="D40" s="128"/>
      <c r="E40" s="129"/>
      <c r="F40" s="129"/>
      <c r="G40" s="129"/>
      <c r="H40" s="129"/>
      <c r="I40" s="129"/>
      <c r="J40" s="128"/>
      <c r="K40" s="128"/>
      <c r="L40" s="128"/>
      <c r="M40" s="128"/>
      <c r="N40" s="128"/>
      <c r="V40" s="16"/>
    </row>
    <row r="41" spans="1:22" ht="68.400000000000006" x14ac:dyDescent="0.4">
      <c r="A41" s="113" t="s">
        <v>171</v>
      </c>
      <c r="B41" s="340" t="s">
        <v>320</v>
      </c>
      <c r="C41" s="340" t="s">
        <v>321</v>
      </c>
      <c r="D41" s="340" t="s">
        <v>322</v>
      </c>
      <c r="E41" s="349" t="s">
        <v>323</v>
      </c>
      <c r="F41" s="349" t="s">
        <v>324</v>
      </c>
      <c r="G41" s="349" t="s">
        <v>325</v>
      </c>
      <c r="H41" s="349" t="s">
        <v>326</v>
      </c>
      <c r="I41" s="349" t="s">
        <v>327</v>
      </c>
      <c r="J41" s="349" t="s">
        <v>328</v>
      </c>
      <c r="K41" s="349" t="s">
        <v>329</v>
      </c>
      <c r="L41" s="349" t="s">
        <v>330</v>
      </c>
      <c r="M41" s="349" t="s">
        <v>331</v>
      </c>
      <c r="N41" s="349" t="s">
        <v>332</v>
      </c>
      <c r="V41" s="16"/>
    </row>
    <row r="42" spans="1:22" ht="49.5" customHeight="1" x14ac:dyDescent="0.4">
      <c r="A42" s="252" t="s">
        <v>142</v>
      </c>
      <c r="B42" s="287">
        <f>B12*'Inputs - Time Series'!B31</f>
        <v>520000</v>
      </c>
      <c r="C42" s="287">
        <f>C12*'Inputs - Time Series'!C31</f>
        <v>260000</v>
      </c>
      <c r="D42" s="287">
        <f>D12*'Inputs - Time Series'!D31</f>
        <v>260000</v>
      </c>
      <c r="E42" s="287">
        <f>IF('Inputs - Constant'!E90="Yes",(IF(E55-E12&gt;0,0,E12-E55))*'Inputs - Time Series'!E31,0)</f>
        <v>0</v>
      </c>
      <c r="F42" s="287">
        <f>IF('Inputs - Constant'!F90="Yes",(IF(F55-F12&gt;0,0,F12-F55))*'Inputs - Time Series'!F31,0)</f>
        <v>0</v>
      </c>
      <c r="G42" s="287">
        <f>IF('Inputs - Constant'!G90="Yes",(IF(G55-G12&gt;0,0,G12-G55))*'Inputs - Time Series'!G31,0)</f>
        <v>0</v>
      </c>
      <c r="H42" s="287">
        <f>IF('Inputs - Constant'!H90="Yes",(IF(H55-H12&gt;0,0,H12-H55))*'Inputs - Time Series'!H31,0)</f>
        <v>0</v>
      </c>
      <c r="I42" s="287">
        <f>IF('Inputs - Constant'!I90="Yes",(IF(I55-I12&gt;0,0,I12-I55))*'Inputs - Time Series'!I31,0)</f>
        <v>6593.1295263231268</v>
      </c>
      <c r="J42" s="287">
        <f>IF('Inputs - Constant'!J90="Yes",(IF(J55-J12&gt;0,0,J12-J55))*'Inputs - Time Series'!J31,0)</f>
        <v>0</v>
      </c>
      <c r="K42" s="287">
        <f>IF('Inputs - Constant'!K90="Yes",(IF(K55-K12&gt;0,0,K12-K55))*'Inputs - Time Series'!K31,0)</f>
        <v>0</v>
      </c>
      <c r="L42" s="287">
        <f>IF('Inputs - Constant'!L90="Yes",(IF(L55-L12&gt;0,0,L12-L55))*'Inputs - Time Series'!L31,0)</f>
        <v>0</v>
      </c>
      <c r="M42" s="287">
        <f>IF('Inputs - Constant'!M90="Yes",(IF(M55-M12&gt;0,0,M12-M55))*'Inputs - Time Series'!M31,0)</f>
        <v>0</v>
      </c>
      <c r="N42" s="302">
        <f>IF('Inputs - Constant'!N90="Yes",(IF(N55-N12&gt;0,0,N12-N55))*'Inputs - Time Series'!N31,0)</f>
        <v>0</v>
      </c>
      <c r="V42" s="16"/>
    </row>
    <row r="43" spans="1:22" x14ac:dyDescent="0.4">
      <c r="A43" s="1" t="s">
        <v>342</v>
      </c>
      <c r="B43" s="59"/>
      <c r="C43" s="59"/>
      <c r="D43" s="59"/>
      <c r="E43" s="59"/>
      <c r="F43" s="59"/>
      <c r="G43" s="59"/>
      <c r="H43" s="59"/>
      <c r="I43" s="59"/>
      <c r="J43" s="127"/>
      <c r="K43" s="127"/>
      <c r="L43" s="127"/>
      <c r="M43" s="127"/>
      <c r="N43" s="127"/>
      <c r="V43" s="16"/>
    </row>
    <row r="44" spans="1:22" ht="24.6" x14ac:dyDescent="0.4">
      <c r="A44" s="113" t="s">
        <v>172</v>
      </c>
      <c r="B44" s="114" t="s">
        <v>210</v>
      </c>
      <c r="C44" s="128"/>
      <c r="D44" s="128"/>
      <c r="E44" s="129"/>
      <c r="F44" s="129"/>
      <c r="G44" s="129"/>
      <c r="H44" s="129"/>
      <c r="I44" s="129"/>
      <c r="J44" s="128"/>
      <c r="K44" s="128"/>
      <c r="L44" s="128"/>
      <c r="M44" s="128"/>
      <c r="N44" s="128"/>
      <c r="V44" s="16"/>
    </row>
    <row r="45" spans="1:22" x14ac:dyDescent="0.4">
      <c r="A45" s="303" t="s">
        <v>122</v>
      </c>
      <c r="B45" s="287">
        <f>SUMPRODUCT(B42:N42,DCF!B31:N31)</f>
        <v>974622.98736246687</v>
      </c>
      <c r="C45" s="128"/>
      <c r="D45" s="132"/>
      <c r="E45" s="129"/>
      <c r="F45" s="129"/>
      <c r="G45" s="129"/>
      <c r="H45" s="129"/>
      <c r="I45" s="129"/>
      <c r="J45" s="128"/>
      <c r="K45" s="128"/>
      <c r="L45" s="128"/>
      <c r="M45" s="128"/>
      <c r="N45" s="128"/>
      <c r="V45" s="16"/>
    </row>
    <row r="46" spans="1:22" x14ac:dyDescent="0.4">
      <c r="A46" s="1" t="s">
        <v>342</v>
      </c>
      <c r="B46" s="127"/>
      <c r="C46" s="128"/>
      <c r="D46" s="128"/>
      <c r="E46" s="129"/>
      <c r="F46" s="129"/>
      <c r="G46" s="129"/>
      <c r="H46" s="129"/>
      <c r="I46" s="129"/>
      <c r="J46" s="128"/>
      <c r="K46" s="128"/>
      <c r="L46" s="128"/>
      <c r="M46" s="128"/>
      <c r="N46" s="128"/>
      <c r="V46" s="16"/>
    </row>
    <row r="47" spans="1:22" s="5" customFormat="1" ht="30" x14ac:dyDescent="0.5">
      <c r="A47" s="157" t="s">
        <v>83</v>
      </c>
      <c r="B47" s="4"/>
      <c r="C47" s="6"/>
      <c r="D47" s="6"/>
      <c r="E47" s="6"/>
      <c r="F47" s="6"/>
      <c r="G47" s="6"/>
      <c r="H47" s="6"/>
      <c r="I47" s="6"/>
      <c r="J47" s="6"/>
      <c r="K47" s="6"/>
      <c r="L47" s="6"/>
      <c r="M47" s="6"/>
      <c r="N47" s="6"/>
      <c r="O47" s="6"/>
      <c r="P47" s="6"/>
      <c r="Q47" s="6"/>
      <c r="R47" s="6"/>
      <c r="S47" s="6"/>
      <c r="T47" s="6"/>
      <c r="U47" s="6"/>
      <c r="V47" s="6"/>
    </row>
    <row r="48" spans="1:22" x14ac:dyDescent="0.4">
      <c r="A48" s="1" t="s">
        <v>342</v>
      </c>
    </row>
    <row r="49" spans="1:25" ht="24.6" x14ac:dyDescent="0.4">
      <c r="A49" s="133" t="s">
        <v>173</v>
      </c>
      <c r="B49" s="134" t="s">
        <v>211</v>
      </c>
    </row>
    <row r="50" spans="1:25" ht="47.1" customHeight="1" x14ac:dyDescent="0.4">
      <c r="A50" s="25" t="s">
        <v>37</v>
      </c>
      <c r="B50" s="135" t="str">
        <f>'Inputs - Constant'!A36</f>
        <v>Baseline</v>
      </c>
      <c r="C50" s="19"/>
      <c r="D50" s="16"/>
    </row>
    <row r="51" spans="1:25" x14ac:dyDescent="0.4">
      <c r="A51" s="258" t="s">
        <v>41</v>
      </c>
      <c r="B51" s="304">
        <f>HLOOKUP($B$50,'Inputs - Constant'!$A$32:$C$33,2,FALSE)</f>
        <v>1</v>
      </c>
      <c r="C51" s="49" t="s">
        <v>61</v>
      </c>
      <c r="D51" s="136"/>
    </row>
    <row r="52" spans="1:25" x14ac:dyDescent="0.4">
      <c r="A52" s="1" t="s">
        <v>342</v>
      </c>
    </row>
    <row r="53" spans="1:25" ht="68.400000000000006" x14ac:dyDescent="0.4">
      <c r="A53" s="134" t="s">
        <v>50</v>
      </c>
      <c r="B53" s="340" t="s">
        <v>320</v>
      </c>
      <c r="C53" s="340" t="s">
        <v>321</v>
      </c>
      <c r="D53" s="340" t="s">
        <v>322</v>
      </c>
      <c r="E53" s="349" t="s">
        <v>323</v>
      </c>
      <c r="F53" s="349" t="s">
        <v>324</v>
      </c>
      <c r="G53" s="349" t="s">
        <v>325</v>
      </c>
      <c r="H53" s="349" t="s">
        <v>326</v>
      </c>
      <c r="I53" s="349" t="s">
        <v>327</v>
      </c>
      <c r="J53" s="349" t="s">
        <v>328</v>
      </c>
      <c r="K53" s="349" t="s">
        <v>329</v>
      </c>
      <c r="L53" s="349" t="s">
        <v>330</v>
      </c>
      <c r="M53" s="349" t="s">
        <v>331</v>
      </c>
      <c r="N53" s="349" t="s">
        <v>332</v>
      </c>
      <c r="O53" s="17"/>
      <c r="P53" s="17"/>
      <c r="Q53" s="17"/>
      <c r="R53" s="17"/>
      <c r="S53" s="17"/>
      <c r="T53" s="17"/>
      <c r="U53" s="17"/>
      <c r="V53" s="17"/>
      <c r="W53" s="17"/>
      <c r="X53" s="17"/>
      <c r="Y53" s="17"/>
    </row>
    <row r="54" spans="1:25" ht="49.2" customHeight="1" x14ac:dyDescent="0.4">
      <c r="A54" s="38" t="s">
        <v>174</v>
      </c>
      <c r="B54" s="137">
        <f>('Inputs - Constant'!$B$39*'Inputs - Constant'!$B$42)+((1-'Inputs - Constant'!$B$39)*'Inputs - Constant'!$B$43)</f>
        <v>0.36</v>
      </c>
      <c r="C54" s="137">
        <f>B54*(1+'Inputs - Constant'!$B$77)</f>
        <v>0.36899999999999994</v>
      </c>
      <c r="D54" s="137">
        <f>C54*(1+'Inputs - Constant'!$B$77)</f>
        <v>0.37822499999999992</v>
      </c>
      <c r="E54" s="137">
        <f>IF('Inputs - Constant'!E90="Yes",D54*(1+'Inputs - Constant'!$B$77),0)</f>
        <v>0.38768062499999989</v>
      </c>
      <c r="F54" s="137">
        <f>IF('Inputs - Constant'!F90="Yes",E54*(1+'Inputs - Constant'!$B$77),0)</f>
        <v>0.39737264062499983</v>
      </c>
      <c r="G54" s="137">
        <f>IF('Inputs - Constant'!G90="Yes",F54*(1+'Inputs - Constant'!$B$77),0)</f>
        <v>0.40730695664062477</v>
      </c>
      <c r="H54" s="137">
        <f>IF('Inputs - Constant'!H90="Yes",G54*(1+'Inputs - Constant'!$B$77),0)</f>
        <v>0.41748963055664035</v>
      </c>
      <c r="I54" s="137">
        <f>IF('Inputs - Constant'!I90="Yes",H54*(1+'Inputs - Constant'!$B$77),0)</f>
        <v>0.42792687132055629</v>
      </c>
      <c r="J54" s="137">
        <f>IF('Inputs - Constant'!J90="Yes",I54*(1+'Inputs - Constant'!$B$77),0)</f>
        <v>0.43862504310357014</v>
      </c>
      <c r="K54" s="137">
        <f>IF('Inputs - Constant'!K90="Yes",J54*(1+'Inputs - Constant'!$B$77),0)</f>
        <v>0.44959066918115936</v>
      </c>
      <c r="L54" s="137">
        <f>IF('Inputs - Constant'!L90="Yes",K54*(1+'Inputs - Constant'!$B$77),0)</f>
        <v>0.46083043591068829</v>
      </c>
      <c r="M54" s="137">
        <f>IF('Inputs - Constant'!M90="Yes",L54*(1+'Inputs - Constant'!$B$77),0)</f>
        <v>0.47235119680845544</v>
      </c>
      <c r="N54" s="305">
        <f>IF('Inputs - Constant'!N90="Yes",M54*(1+'Inputs - Constant'!$B$77),0)</f>
        <v>0.48415997672866679</v>
      </c>
      <c r="O54" s="138"/>
      <c r="P54" s="138"/>
      <c r="Q54" s="138"/>
      <c r="R54" s="138"/>
      <c r="S54" s="138"/>
      <c r="T54" s="138"/>
      <c r="U54" s="138"/>
      <c r="V54" s="138"/>
      <c r="W54" s="138"/>
      <c r="X54" s="138"/>
      <c r="Y54" s="138"/>
    </row>
    <row r="55" spans="1:25" x14ac:dyDescent="0.4">
      <c r="A55" s="31" t="s">
        <v>89</v>
      </c>
      <c r="B55" s="268" t="s">
        <v>300</v>
      </c>
      <c r="C55" s="268" t="s">
        <v>300</v>
      </c>
      <c r="D55" s="268" t="s">
        <v>300</v>
      </c>
      <c r="E55" s="139">
        <f>$B$51*(IF('Inputs - Time Series'!E43&lt;&gt;"",'Inputs - Time Series'!E43,IF('Inputs - Time Series'!E38&lt;&gt;"",('Inputs - Time Series'!E38*'Inputs - Time Series'!E39*Outputs!E54)+'Inputs - Time Series'!E40,('Inputs - Time Series'!E37*'Inputs - Time Series'!E39*Outputs!E54)+'Inputs - Time Series'!E40)))</f>
        <v>122258.96189999999</v>
      </c>
      <c r="F55" s="139">
        <f>$B$51*(IF('Inputs - Time Series'!F43&lt;&gt;"",'Inputs - Time Series'!F43,IF('Inputs - Time Series'!F38&lt;&gt;"",('Inputs - Time Series'!F38*'Inputs - Time Series'!F39*Outputs!F54)+'Inputs - Time Series'!F40,('Inputs - Time Series'!F37*'Inputs - Time Series'!F39*Outputs!F54)+'Inputs - Time Series'!F40)))</f>
        <v>131581.20774487496</v>
      </c>
      <c r="G55" s="139">
        <f>$B$51*(IF('Inputs - Time Series'!G43&lt;&gt;"",'Inputs - Time Series'!G43,IF('Inputs - Time Series'!G38&lt;&gt;"",('Inputs - Time Series'!G38*'Inputs - Time Series'!G39*Outputs!G54)+'Inputs - Time Series'!G40,('Inputs - Time Series'!G37*'Inputs - Time Series'!G39*Outputs!G54)+'Inputs - Time Series'!G40)))</f>
        <v>141614.27483542167</v>
      </c>
      <c r="H55" s="139">
        <f>$B$51*(IF('Inputs - Time Series'!H43&lt;&gt;"",'Inputs - Time Series'!H43,IF('Inputs - Time Series'!H38&lt;&gt;"",('Inputs - Time Series'!H38*'Inputs - Time Series'!H39*Outputs!H54)+'Inputs - Time Series'!H40,('Inputs - Time Series'!H37*'Inputs - Time Series'!H39*Outputs!H54)+'Inputs - Time Series'!H40)))</f>
        <v>152412.36329162258</v>
      </c>
      <c r="I55" s="139">
        <f>$B$51*(IF('Inputs - Time Series'!I43&lt;&gt;"",'Inputs - Time Series'!I43,IF('Inputs - Time Series'!I38&lt;&gt;"",('Inputs - Time Series'!I38*'Inputs - Time Series'!I39*Outputs!I54)+'Inputs - Time Series'!I40,('Inputs - Time Series'!I37*'Inputs - Time Series'!I39*Outputs!I54)+'Inputs - Time Series'!I40)))</f>
        <v>164033.80599260874</v>
      </c>
      <c r="J55" s="139">
        <f>$B$51*(IF('Inputs - Time Series'!J43&lt;&gt;"",'Inputs - Time Series'!J43,IF('Inputs - Time Series'!J38&lt;&gt;"",('Inputs - Time Series'!J38*'Inputs - Time Series'!J39*Outputs!J54)+'Inputs - Time Series'!J40,('Inputs - Time Series'!J37*'Inputs - Time Series'!J39*Outputs!J54)+'Inputs - Time Series'!J40)))</f>
        <v>176541.38369954514</v>
      </c>
      <c r="K55" s="139">
        <f>$B$51*(IF('Inputs - Time Series'!K43&lt;&gt;"",'Inputs - Time Series'!K43,IF('Inputs - Time Series'!K38&lt;&gt;"",('Inputs - Time Series'!K38*'Inputs - Time Series'!K39*Outputs!K54)+'Inputs - Time Series'!K40,('Inputs - Time Series'!K37*'Inputs - Time Series'!K39*Outputs!K54)+'Inputs - Time Series'!K40)))</f>
        <v>190002.66420663544</v>
      </c>
      <c r="L55" s="139">
        <f>$B$51*(IF('Inputs - Time Series'!L43&lt;&gt;"",'Inputs - Time Series'!L43,IF('Inputs - Time Series'!L38&lt;&gt;"",('Inputs - Time Series'!L38*'Inputs - Time Series'!L39*Outputs!L54)+'Inputs - Time Series'!L40,('Inputs - Time Series'!L37*'Inputs - Time Series'!L39*Outputs!L54)+'Inputs - Time Series'!L40)))</f>
        <v>204490.36735239139</v>
      </c>
      <c r="M55" s="139">
        <f>$B$51*(IF('Inputs - Time Series'!M43&lt;&gt;"",'Inputs - Time Series'!M43,IF('Inputs - Time Series'!M38&lt;&gt;"",('Inputs - Time Series'!M38*'Inputs - Time Series'!M39*Outputs!M54)+'Inputs - Time Series'!M40,('Inputs - Time Series'!M37*'Inputs - Time Series'!M39*Outputs!M54)+'Inputs - Time Series'!M40)))</f>
        <v>220082.75786301124</v>
      </c>
      <c r="N55" s="286">
        <f>$B$51*(IF('Inputs - Time Series'!N43&lt;&gt;"",'Inputs - Time Series'!N43,IF('Inputs - Time Series'!N38&lt;&gt;"",('Inputs - Time Series'!N38*'Inputs - Time Series'!N39*Outputs!N54)+'Inputs - Time Series'!N40,('Inputs - Time Series'!N37*'Inputs - Time Series'!N39*Outputs!N54)+'Inputs - Time Series'!N40)))</f>
        <v>236864.06815006587</v>
      </c>
      <c r="O55" s="140" t="s">
        <v>90</v>
      </c>
      <c r="P55" s="19"/>
      <c r="Q55" s="19"/>
      <c r="R55" s="19"/>
      <c r="S55" s="19"/>
      <c r="T55" s="19"/>
      <c r="U55" s="19"/>
      <c r="V55" s="19"/>
      <c r="W55" s="19"/>
      <c r="X55" s="19"/>
      <c r="Y55" s="19"/>
    </row>
    <row r="56" spans="1:25" ht="82.5" customHeight="1" x14ac:dyDescent="0.4">
      <c r="A56" s="36" t="s">
        <v>63</v>
      </c>
      <c r="B56" s="268" t="s">
        <v>300</v>
      </c>
      <c r="C56" s="268" t="s">
        <v>300</v>
      </c>
      <c r="D56" s="268" t="s">
        <v>300</v>
      </c>
      <c r="E56" s="108">
        <f>'Inputs - Time Series'!E41</f>
        <v>0</v>
      </c>
      <c r="F56" s="108">
        <f>'Inputs - Time Series'!F41</f>
        <v>0</v>
      </c>
      <c r="G56" s="108">
        <f>'Inputs - Time Series'!G41</f>
        <v>0</v>
      </c>
      <c r="H56" s="108">
        <f>'Inputs - Time Series'!H41</f>
        <v>0</v>
      </c>
      <c r="I56" s="108">
        <f>'Inputs - Time Series'!I41</f>
        <v>0</v>
      </c>
      <c r="J56" s="108">
        <f>'Inputs - Time Series'!J41</f>
        <v>0</v>
      </c>
      <c r="K56" s="108">
        <f>'Inputs - Time Series'!K41</f>
        <v>0</v>
      </c>
      <c r="L56" s="108">
        <f>'Inputs - Time Series'!L41</f>
        <v>0</v>
      </c>
      <c r="M56" s="108">
        <f>'Inputs - Time Series'!M41</f>
        <v>0</v>
      </c>
      <c r="N56" s="285">
        <f>'Inputs - Time Series'!N41</f>
        <v>0</v>
      </c>
      <c r="O56" s="19"/>
      <c r="P56" s="19"/>
      <c r="Q56" s="19"/>
      <c r="R56" s="19"/>
      <c r="S56" s="19"/>
      <c r="T56" s="19"/>
      <c r="U56" s="19"/>
      <c r="V56" s="19"/>
      <c r="W56" s="19"/>
      <c r="X56" s="19"/>
      <c r="Y56" s="19"/>
    </row>
    <row r="57" spans="1:25" ht="29.1" customHeight="1" x14ac:dyDescent="0.4">
      <c r="A57" s="252" t="s">
        <v>42</v>
      </c>
      <c r="B57" s="267" t="s">
        <v>300</v>
      </c>
      <c r="C57" s="267" t="s">
        <v>300</v>
      </c>
      <c r="D57" s="267" t="s">
        <v>300</v>
      </c>
      <c r="E57" s="288">
        <f>IF('Inputs - Constant'!E90="Yes",IF('Inputs - Time Series'!E43&lt;&gt;"",'Inputs - Time Series'!E43*$B$51,Outputs!E56+Outputs!E55),0)</f>
        <v>122258.96189999999</v>
      </c>
      <c r="F57" s="288">
        <f>IF('Inputs - Constant'!F90="Yes",IF('Inputs - Time Series'!F43&lt;&gt;"",'Inputs - Time Series'!F43*$B$51,Outputs!F56+Outputs!F55),0)</f>
        <v>131581.20774487496</v>
      </c>
      <c r="G57" s="288">
        <f>IF('Inputs - Constant'!G90="Yes",IF('Inputs - Time Series'!G43&lt;&gt;"",'Inputs - Time Series'!G43*$B$51,Outputs!G56+Outputs!G55),0)</f>
        <v>141614.27483542167</v>
      </c>
      <c r="H57" s="288">
        <f>IF('Inputs - Constant'!H90="Yes",IF('Inputs - Time Series'!H43&lt;&gt;"",'Inputs - Time Series'!H43*$B$51,Outputs!H56+Outputs!H55),0)</f>
        <v>152412.36329162258</v>
      </c>
      <c r="I57" s="288">
        <f>IF('Inputs - Constant'!I90="Yes",IF('Inputs - Time Series'!I43&lt;&gt;"",'Inputs - Time Series'!I43*$B$51,Outputs!I56+Outputs!I55),0)</f>
        <v>164033.80599260874</v>
      </c>
      <c r="J57" s="288">
        <f>IF('Inputs - Constant'!J90="Yes",IF('Inputs - Time Series'!J43&lt;&gt;"",'Inputs - Time Series'!J43*$B$51,Outputs!J56+Outputs!J55),0)</f>
        <v>176541.38369954514</v>
      </c>
      <c r="K57" s="288">
        <f>IF('Inputs - Constant'!K90="Yes",IF('Inputs - Time Series'!K43&lt;&gt;"",'Inputs - Time Series'!K43*$B$51,Outputs!K56+Outputs!K55),0)</f>
        <v>190002.66420663544</v>
      </c>
      <c r="L57" s="288">
        <f>IF('Inputs - Constant'!L90="Yes",IF('Inputs - Time Series'!L43&lt;&gt;"",'Inputs - Time Series'!L43*$B$51,Outputs!L56+Outputs!L55),0)</f>
        <v>204490.36735239139</v>
      </c>
      <c r="M57" s="288">
        <f>IF('Inputs - Constant'!M90="Yes",IF('Inputs - Time Series'!M43&lt;&gt;"",'Inputs - Time Series'!M43*$B$51,Outputs!M56+Outputs!M55),0)</f>
        <v>220082.75786301124</v>
      </c>
      <c r="N57" s="289">
        <f>IF('Inputs - Constant'!N90="Yes",IF('Inputs - Time Series'!N43&lt;&gt;"",'Inputs - Time Series'!N43*$B$51,Outputs!N56+Outputs!N55),0)</f>
        <v>236864.06815006587</v>
      </c>
      <c r="O57" s="19"/>
      <c r="P57" s="19"/>
      <c r="Q57" s="19"/>
      <c r="R57" s="19"/>
      <c r="S57" s="19"/>
      <c r="T57" s="19"/>
      <c r="U57" s="19"/>
      <c r="V57" s="19"/>
      <c r="W57" s="19"/>
      <c r="X57" s="19"/>
      <c r="Y57" s="19"/>
    </row>
    <row r="58" spans="1:25" ht="27.6" customHeight="1" x14ac:dyDescent="0.4">
      <c r="A58" s="1" t="s">
        <v>342</v>
      </c>
      <c r="B58" s="195"/>
      <c r="C58" s="195"/>
      <c r="D58" s="195"/>
      <c r="E58" s="196"/>
      <c r="F58" s="19"/>
      <c r="G58" s="19"/>
      <c r="H58" s="19"/>
      <c r="I58" s="19"/>
      <c r="J58" s="19"/>
      <c r="K58" s="19"/>
      <c r="L58" s="19"/>
      <c r="M58" s="19"/>
      <c r="N58" s="19"/>
      <c r="O58" s="19"/>
      <c r="P58" s="19"/>
      <c r="Q58" s="19"/>
      <c r="R58" s="19"/>
      <c r="S58" s="19"/>
      <c r="T58" s="19"/>
      <c r="U58" s="19"/>
      <c r="V58" s="19"/>
    </row>
    <row r="59" spans="1:25" s="5" customFormat="1" ht="30" x14ac:dyDescent="0.5">
      <c r="A59" s="157" t="s">
        <v>105</v>
      </c>
      <c r="B59" s="9"/>
      <c r="C59" s="9"/>
      <c r="D59" s="9"/>
      <c r="E59" s="9"/>
      <c r="F59" s="9"/>
      <c r="G59" s="9"/>
      <c r="H59" s="9"/>
      <c r="I59" s="9"/>
      <c r="J59" s="9"/>
      <c r="K59" s="9"/>
      <c r="L59" s="9"/>
      <c r="M59" s="9"/>
      <c r="N59" s="9"/>
      <c r="O59" s="9"/>
      <c r="P59" s="9"/>
      <c r="Q59" s="9"/>
      <c r="R59" s="9"/>
      <c r="S59" s="9"/>
      <c r="T59" s="9"/>
      <c r="U59" s="9"/>
    </row>
    <row r="60" spans="1:25" ht="42" customHeight="1" x14ac:dyDescent="0.4">
      <c r="A60" s="1" t="s">
        <v>342</v>
      </c>
      <c r="C60" s="22"/>
      <c r="D60" s="22"/>
      <c r="E60" s="22"/>
      <c r="F60" s="22"/>
      <c r="G60" s="22"/>
      <c r="H60" s="22"/>
      <c r="I60" s="22"/>
      <c r="J60" s="22"/>
      <c r="K60" s="22"/>
      <c r="L60" s="22"/>
      <c r="M60" s="22"/>
      <c r="N60" s="22"/>
      <c r="O60" s="22"/>
      <c r="P60" s="22"/>
      <c r="Q60" s="22"/>
      <c r="R60" s="22"/>
      <c r="S60" s="22"/>
      <c r="T60" s="22"/>
      <c r="U60" s="22"/>
      <c r="V60" s="22"/>
    </row>
    <row r="61" spans="1:25" ht="68.400000000000006" x14ac:dyDescent="0.4">
      <c r="A61" s="105" t="s">
        <v>106</v>
      </c>
      <c r="B61" s="340" t="s">
        <v>320</v>
      </c>
      <c r="C61" s="340" t="s">
        <v>321</v>
      </c>
      <c r="D61" s="340" t="s">
        <v>322</v>
      </c>
      <c r="E61" s="349" t="s">
        <v>323</v>
      </c>
      <c r="F61" s="349" t="s">
        <v>324</v>
      </c>
      <c r="G61" s="349" t="s">
        <v>325</v>
      </c>
      <c r="H61" s="349" t="s">
        <v>326</v>
      </c>
      <c r="I61" s="349" t="s">
        <v>327</v>
      </c>
      <c r="J61" s="349" t="s">
        <v>328</v>
      </c>
      <c r="K61" s="349" t="s">
        <v>329</v>
      </c>
      <c r="L61" s="349" t="s">
        <v>330</v>
      </c>
      <c r="M61" s="349" t="s">
        <v>331</v>
      </c>
      <c r="N61" s="349" t="s">
        <v>332</v>
      </c>
      <c r="W61" s="18"/>
      <c r="X61" s="18"/>
      <c r="Y61" s="18"/>
    </row>
    <row r="62" spans="1:25" x14ac:dyDescent="0.4">
      <c r="A62" s="306" t="s">
        <v>51</v>
      </c>
      <c r="B62" s="267" t="s">
        <v>300</v>
      </c>
      <c r="C62" s="267" t="s">
        <v>300</v>
      </c>
      <c r="D62" s="267" t="s">
        <v>300</v>
      </c>
      <c r="E62" s="118">
        <f t="shared" ref="E62:N62" si="6">E57-E12</f>
        <v>22258.961899999995</v>
      </c>
      <c r="F62" s="118">
        <f t="shared" si="6"/>
        <v>26518.707744874962</v>
      </c>
      <c r="G62" s="118">
        <f t="shared" si="6"/>
        <v>31167.321710421689</v>
      </c>
      <c r="H62" s="118">
        <f t="shared" si="6"/>
        <v>36236.056553341361</v>
      </c>
      <c r="I62" s="118">
        <f t="shared" si="6"/>
        <v>-8241.4119079039083</v>
      </c>
      <c r="J62" s="118">
        <f t="shared" si="6"/>
        <v>47771.200966344972</v>
      </c>
      <c r="K62" s="118">
        <f t="shared" si="6"/>
        <v>54312.98858556099</v>
      </c>
      <c r="L62" s="118">
        <f t="shared" si="6"/>
        <v>61426.06834938057</v>
      </c>
      <c r="M62" s="118">
        <f t="shared" si="6"/>
        <v>69155.813304795622</v>
      </c>
      <c r="N62" s="293">
        <f t="shared" si="6"/>
        <v>77551.101494155504</v>
      </c>
      <c r="O62" s="39"/>
      <c r="W62" s="18"/>
      <c r="X62" s="18"/>
      <c r="Y62" s="18"/>
    </row>
    <row r="63" spans="1:25" x14ac:dyDescent="0.4">
      <c r="A63" s="1" t="s">
        <v>342</v>
      </c>
      <c r="B63" s="141"/>
      <c r="C63" s="141"/>
      <c r="D63" s="141"/>
      <c r="E63" s="141"/>
      <c r="F63" s="141"/>
      <c r="G63" s="141"/>
      <c r="H63" s="141"/>
      <c r="I63" s="141"/>
      <c r="J63" s="141"/>
      <c r="K63" s="141"/>
      <c r="L63" s="141"/>
      <c r="M63" s="141"/>
      <c r="N63" s="141"/>
      <c r="O63" s="39"/>
      <c r="W63" s="18"/>
      <c r="X63" s="18"/>
      <c r="Y63" s="18"/>
    </row>
    <row r="64" spans="1:25" ht="24.6" x14ac:dyDescent="0.4">
      <c r="A64" s="105" t="s">
        <v>213</v>
      </c>
      <c r="B64" s="142" t="s">
        <v>210</v>
      </c>
      <c r="C64" s="143"/>
      <c r="D64" s="143"/>
      <c r="E64" s="144"/>
      <c r="F64" s="143"/>
      <c r="G64" s="143"/>
      <c r="H64" s="143"/>
      <c r="I64" s="143"/>
      <c r="J64" s="143"/>
      <c r="K64" s="143"/>
      <c r="L64" s="22"/>
      <c r="M64" s="22"/>
      <c r="N64" s="22"/>
      <c r="O64" s="22"/>
      <c r="P64" s="22"/>
      <c r="Q64" s="22"/>
      <c r="R64" s="22"/>
      <c r="S64" s="22"/>
      <c r="T64" s="22"/>
      <c r="U64" s="22"/>
      <c r="V64" s="22"/>
    </row>
    <row r="65" spans="1:23" x14ac:dyDescent="0.4">
      <c r="A65" s="306" t="s">
        <v>212</v>
      </c>
      <c r="B65" s="287">
        <f>SUMPRODUCT(DCF!E15:N15,Outputs!E62:N62)</f>
        <v>188364.6351222352</v>
      </c>
      <c r="C65" s="143"/>
      <c r="D65" s="143"/>
      <c r="E65" s="22"/>
      <c r="F65" s="144"/>
      <c r="G65" s="144"/>
      <c r="H65" s="144"/>
      <c r="I65" s="144"/>
      <c r="J65" s="144"/>
      <c r="K65" s="144"/>
      <c r="L65" s="144"/>
      <c r="M65" s="144"/>
      <c r="N65" s="144"/>
      <c r="O65" s="22"/>
      <c r="P65" s="22"/>
      <c r="Q65" s="22"/>
      <c r="R65" s="22"/>
      <c r="S65" s="22"/>
      <c r="T65" s="22"/>
      <c r="U65" s="22"/>
      <c r="V65" s="22"/>
    </row>
    <row r="66" spans="1:23" x14ac:dyDescent="0.4">
      <c r="A66" s="1" t="s">
        <v>342</v>
      </c>
      <c r="B66" s="20"/>
      <c r="C66" s="22"/>
      <c r="D66" s="22"/>
      <c r="F66" s="22"/>
      <c r="G66" s="22"/>
      <c r="H66" s="22"/>
      <c r="I66" s="22"/>
      <c r="J66" s="22"/>
      <c r="K66" s="22"/>
      <c r="L66" s="22"/>
      <c r="M66" s="22"/>
      <c r="N66" s="22"/>
      <c r="O66" s="22"/>
      <c r="P66" s="22"/>
      <c r="Q66" s="22"/>
      <c r="R66" s="22"/>
      <c r="S66" s="22"/>
      <c r="T66" s="22"/>
      <c r="U66" s="22"/>
      <c r="V66" s="22"/>
    </row>
    <row r="67" spans="1:23" s="70" customFormat="1" ht="30" x14ac:dyDescent="0.5">
      <c r="A67" s="180" t="s">
        <v>195</v>
      </c>
      <c r="B67" s="69"/>
      <c r="C67" s="69"/>
      <c r="D67" s="69"/>
      <c r="E67" s="69"/>
      <c r="F67" s="69"/>
      <c r="G67" s="69"/>
      <c r="H67" s="69"/>
      <c r="I67" s="69"/>
      <c r="J67" s="69"/>
      <c r="K67" s="69"/>
      <c r="L67" s="69"/>
      <c r="M67" s="69"/>
      <c r="N67" s="69"/>
      <c r="O67" s="69"/>
      <c r="P67" s="69"/>
      <c r="Q67" s="69"/>
      <c r="R67" s="69"/>
      <c r="S67" s="69"/>
      <c r="T67" s="69"/>
      <c r="U67" s="69"/>
      <c r="V67" s="69"/>
      <c r="W67" s="69"/>
    </row>
    <row r="68" spans="1:23" x14ac:dyDescent="0.4">
      <c r="A68" s="1" t="s">
        <v>342</v>
      </c>
    </row>
    <row r="69" spans="1:23" ht="68.400000000000006" x14ac:dyDescent="0.4">
      <c r="A69" s="106" t="s">
        <v>43</v>
      </c>
      <c r="B69" s="340" t="s">
        <v>320</v>
      </c>
      <c r="C69" s="340" t="s">
        <v>321</v>
      </c>
      <c r="D69" s="340" t="s">
        <v>322</v>
      </c>
      <c r="E69" s="349" t="s">
        <v>323</v>
      </c>
      <c r="F69" s="349" t="s">
        <v>324</v>
      </c>
      <c r="G69" s="349" t="s">
        <v>325</v>
      </c>
      <c r="H69" s="349" t="s">
        <v>326</v>
      </c>
      <c r="I69" s="349" t="s">
        <v>327</v>
      </c>
      <c r="J69" s="349" t="s">
        <v>328</v>
      </c>
      <c r="K69" s="349" t="s">
        <v>329</v>
      </c>
      <c r="L69" s="349" t="s">
        <v>330</v>
      </c>
      <c r="M69" s="349" t="s">
        <v>331</v>
      </c>
      <c r="N69" s="349" t="s">
        <v>332</v>
      </c>
    </row>
    <row r="70" spans="1:23" x14ac:dyDescent="0.4">
      <c r="A70" s="145" t="s">
        <v>201</v>
      </c>
      <c r="B70" s="268" t="s">
        <v>300</v>
      </c>
      <c r="C70" s="268" t="s">
        <v>300</v>
      </c>
      <c r="D70" s="268" t="s">
        <v>300</v>
      </c>
      <c r="E70" s="107">
        <f t="shared" ref="E70:N70" si="7">(E55/$B$51)+E56</f>
        <v>122258.96189999999</v>
      </c>
      <c r="F70" s="107">
        <f t="shared" si="7"/>
        <v>131581.20774487496</v>
      </c>
      <c r="G70" s="107">
        <f t="shared" si="7"/>
        <v>141614.27483542167</v>
      </c>
      <c r="H70" s="107">
        <f t="shared" si="7"/>
        <v>152412.36329162258</v>
      </c>
      <c r="I70" s="107">
        <f t="shared" si="7"/>
        <v>164033.80599260874</v>
      </c>
      <c r="J70" s="107">
        <f t="shared" si="7"/>
        <v>176541.38369954514</v>
      </c>
      <c r="K70" s="107">
        <f t="shared" si="7"/>
        <v>190002.66420663544</v>
      </c>
      <c r="L70" s="107">
        <f t="shared" si="7"/>
        <v>204490.36735239139</v>
      </c>
      <c r="M70" s="107">
        <f t="shared" si="7"/>
        <v>220082.75786301124</v>
      </c>
      <c r="N70" s="307">
        <f t="shared" si="7"/>
        <v>236864.06815006587</v>
      </c>
    </row>
    <row r="71" spans="1:23" x14ac:dyDescent="0.4">
      <c r="A71" s="145" t="s">
        <v>236</v>
      </c>
      <c r="B71" s="268" t="s">
        <v>300</v>
      </c>
      <c r="C71" s="268" t="s">
        <v>300</v>
      </c>
      <c r="D71" s="268" t="s">
        <v>300</v>
      </c>
      <c r="E71" s="107">
        <f t="shared" ref="E71:N71" si="8">E57</f>
        <v>122258.96189999999</v>
      </c>
      <c r="F71" s="107">
        <f t="shared" si="8"/>
        <v>131581.20774487496</v>
      </c>
      <c r="G71" s="107">
        <f t="shared" si="8"/>
        <v>141614.27483542167</v>
      </c>
      <c r="H71" s="107">
        <f t="shared" si="8"/>
        <v>152412.36329162258</v>
      </c>
      <c r="I71" s="107">
        <f t="shared" si="8"/>
        <v>164033.80599260874</v>
      </c>
      <c r="J71" s="107">
        <f t="shared" si="8"/>
        <v>176541.38369954514</v>
      </c>
      <c r="K71" s="107">
        <f t="shared" si="8"/>
        <v>190002.66420663544</v>
      </c>
      <c r="L71" s="107">
        <f t="shared" si="8"/>
        <v>204490.36735239139</v>
      </c>
      <c r="M71" s="107">
        <f t="shared" si="8"/>
        <v>220082.75786301124</v>
      </c>
      <c r="N71" s="307">
        <f t="shared" si="8"/>
        <v>236864.06815006587</v>
      </c>
    </row>
    <row r="72" spans="1:23" ht="52.5" customHeight="1" x14ac:dyDescent="0.4">
      <c r="A72" s="145" t="s">
        <v>202</v>
      </c>
      <c r="B72" s="268" t="s">
        <v>300</v>
      </c>
      <c r="C72" s="268" t="s">
        <v>300</v>
      </c>
      <c r="D72" s="268" t="s">
        <v>300</v>
      </c>
      <c r="E72" s="146">
        <f>IF('Inputs - Time Series'!E48&gt;0,E70*'Inputs - Time Series'!E48,0)</f>
        <v>61129.480949999997</v>
      </c>
      <c r="F72" s="146">
        <f>IF('Inputs - Time Series'!F48&gt;0,F70*'Inputs - Time Series'!F48,0)</f>
        <v>65790.603872437481</v>
      </c>
      <c r="G72" s="146">
        <f>IF('Inputs - Time Series'!G48&gt;0,G70*'Inputs - Time Series'!G48,0)</f>
        <v>70807.137417710837</v>
      </c>
      <c r="H72" s="146">
        <f>IF('Inputs - Time Series'!H48&gt;0,H70*'Inputs - Time Series'!H48,0)</f>
        <v>76206.181645811288</v>
      </c>
      <c r="I72" s="146">
        <f>IF('Inputs - Time Series'!I48&gt;0,I70*'Inputs - Time Series'!I48,0)</f>
        <v>82016.902996304372</v>
      </c>
      <c r="J72" s="146">
        <f>IF('Inputs - Time Series'!J48&gt;0,J70*'Inputs - Time Series'!J48,0)</f>
        <v>88270.691849772571</v>
      </c>
      <c r="K72" s="146">
        <f>IF('Inputs - Time Series'!K48&gt;0,K70*'Inputs - Time Series'!K48,0)</f>
        <v>95001.33210331772</v>
      </c>
      <c r="L72" s="146">
        <f>IF('Inputs - Time Series'!L48&gt;0,L70*'Inputs - Time Series'!L48,0)</f>
        <v>102245.18367619569</v>
      </c>
      <c r="M72" s="146">
        <f>IF('Inputs - Time Series'!M48&gt;0,M70*'Inputs - Time Series'!M48,0)</f>
        <v>110041.37893150562</v>
      </c>
      <c r="N72" s="308">
        <f>IF('Inputs - Time Series'!N48&gt;0,N70*'Inputs - Time Series'!N48,0)</f>
        <v>118432.03407503293</v>
      </c>
    </row>
    <row r="73" spans="1:23" ht="52.5" customHeight="1" x14ac:dyDescent="0.4">
      <c r="A73" s="309" t="s">
        <v>200</v>
      </c>
      <c r="B73" s="267" t="s">
        <v>300</v>
      </c>
      <c r="C73" s="267" t="s">
        <v>300</v>
      </c>
      <c r="D73" s="267" t="s">
        <v>300</v>
      </c>
      <c r="E73" s="310">
        <f>IF(E72&gt;E71,E72-E71,0)</f>
        <v>0</v>
      </c>
      <c r="F73" s="310">
        <f t="shared" ref="F73:N73" si="9">IF(F72&gt;F71,F72-F71,0)</f>
        <v>0</v>
      </c>
      <c r="G73" s="310">
        <f t="shared" si="9"/>
        <v>0</v>
      </c>
      <c r="H73" s="310">
        <f t="shared" si="9"/>
        <v>0</v>
      </c>
      <c r="I73" s="310">
        <f t="shared" si="9"/>
        <v>0</v>
      </c>
      <c r="J73" s="310">
        <f t="shared" si="9"/>
        <v>0</v>
      </c>
      <c r="K73" s="310">
        <f t="shared" si="9"/>
        <v>0</v>
      </c>
      <c r="L73" s="310">
        <f t="shared" si="9"/>
        <v>0</v>
      </c>
      <c r="M73" s="310">
        <f t="shared" si="9"/>
        <v>0</v>
      </c>
      <c r="N73" s="311">
        <f t="shared" si="9"/>
        <v>0</v>
      </c>
    </row>
    <row r="74" spans="1:23" x14ac:dyDescent="0.4">
      <c r="A74" s="37" t="s">
        <v>96</v>
      </c>
    </row>
    <row r="75" spans="1:23" x14ac:dyDescent="0.4">
      <c r="A75" s="1" t="s">
        <v>342</v>
      </c>
    </row>
    <row r="76" spans="1:23" customFormat="1" ht="68.400000000000006" x14ac:dyDescent="0.3">
      <c r="A76" s="106" t="s">
        <v>54</v>
      </c>
      <c r="B76" s="340" t="s">
        <v>320</v>
      </c>
      <c r="C76" s="340" t="s">
        <v>321</v>
      </c>
      <c r="D76" s="340" t="s">
        <v>322</v>
      </c>
      <c r="E76" s="349" t="s">
        <v>323</v>
      </c>
      <c r="F76" s="349" t="s">
        <v>324</v>
      </c>
      <c r="G76" s="349" t="s">
        <v>325</v>
      </c>
      <c r="H76" s="349" t="s">
        <v>326</v>
      </c>
      <c r="I76" s="349" t="s">
        <v>327</v>
      </c>
      <c r="J76" s="349" t="s">
        <v>328</v>
      </c>
      <c r="K76" s="349" t="s">
        <v>329</v>
      </c>
      <c r="L76" s="349" t="s">
        <v>330</v>
      </c>
      <c r="M76" s="349" t="s">
        <v>331</v>
      </c>
      <c r="N76" s="349" t="s">
        <v>332</v>
      </c>
    </row>
    <row r="77" spans="1:23" customFormat="1" x14ac:dyDescent="0.4">
      <c r="A77" s="36" t="s">
        <v>97</v>
      </c>
      <c r="B77" s="268" t="s">
        <v>300</v>
      </c>
      <c r="C77" s="268" t="s">
        <v>300</v>
      </c>
      <c r="D77" s="268" t="s">
        <v>300</v>
      </c>
      <c r="E77" s="107">
        <f>IF('Inputs - Time Series'!E51&gt;=0,((E55/$B$51)+E56)*'Inputs - Time Series'!E51,"NA")</f>
        <v>146710.75427999999</v>
      </c>
      <c r="F77" s="107">
        <f>IF('Inputs - Time Series'!F51&gt;=0,((F55/$B$51)+F56)*'Inputs - Time Series'!F51,"NA")</f>
        <v>157897.44929384996</v>
      </c>
      <c r="G77" s="107">
        <f>IF('Inputs - Time Series'!G51&gt;=0,((G55/$B$51)+G56)*'Inputs - Time Series'!G51,"NA")</f>
        <v>169937.12980250601</v>
      </c>
      <c r="H77" s="107">
        <f>IF('Inputs - Time Series'!H51&gt;=0,((H55/$B$51)+H56)*'Inputs - Time Series'!H51,"NA")</f>
        <v>182894.8359499471</v>
      </c>
      <c r="I77" s="107">
        <f>IF('Inputs - Time Series'!I51&gt;=0,((I55/$B$51)+I56)*'Inputs - Time Series'!I51,"NA")</f>
        <v>196840.56719113048</v>
      </c>
      <c r="J77" s="107">
        <f>IF('Inputs - Time Series'!J51&gt;=0,((J55/$B$51)+J56)*'Inputs - Time Series'!J51,"NA")</f>
        <v>211849.66043945416</v>
      </c>
      <c r="K77" s="107">
        <f>IF('Inputs - Time Series'!K51&gt;=0,((K55/$B$51)+K56)*'Inputs - Time Series'!K51,"NA")</f>
        <v>228003.19704796252</v>
      </c>
      <c r="L77" s="107">
        <f>IF('Inputs - Time Series'!L51&gt;=0,((L55/$B$51)+L56)*'Inputs - Time Series'!L51,"NA")</f>
        <v>245388.44082286966</v>
      </c>
      <c r="M77" s="107">
        <f>IF('Inputs - Time Series'!M51&gt;=0,((M55/$B$51)+M56)*'Inputs - Time Series'!M51,"NA")</f>
        <v>264099.30943561345</v>
      </c>
      <c r="N77" s="307">
        <f>IF('Inputs - Time Series'!N51&gt;=0,((N55/$B$51)+N56)*'Inputs - Time Series'!N51,"NA")</f>
        <v>284236.88178007904</v>
      </c>
      <c r="O77" s="37" t="s">
        <v>98</v>
      </c>
    </row>
    <row r="78" spans="1:23" customFormat="1" x14ac:dyDescent="0.4">
      <c r="A78" s="36" t="s">
        <v>99</v>
      </c>
      <c r="B78" s="268" t="s">
        <v>300</v>
      </c>
      <c r="C78" s="268" t="s">
        <v>300</v>
      </c>
      <c r="D78" s="268" t="s">
        <v>300</v>
      </c>
      <c r="E78" s="107" t="str">
        <f>IF('Inputs - Time Series'!E51&gt;=0,(IF(E57&lt;E77,"NA",E57-E77)), "NA")</f>
        <v>NA</v>
      </c>
      <c r="F78" s="107" t="str">
        <f>IF('Inputs - Time Series'!F51&gt;=0,(IF(F57&lt;F77,"NA",F57-F77)), "NA")</f>
        <v>NA</v>
      </c>
      <c r="G78" s="107" t="str">
        <f>IF('Inputs - Time Series'!G51&gt;=0,(IF(G57&lt;G77,"NA",G57-G77)), "NA")</f>
        <v>NA</v>
      </c>
      <c r="H78" s="107" t="str">
        <f>IF('Inputs - Time Series'!H51&gt;=0,(IF(H57&lt;H77,"NA",H57-H77)), "NA")</f>
        <v>NA</v>
      </c>
      <c r="I78" s="107" t="str">
        <f>IF('Inputs - Time Series'!I51&gt;=0,(IF(I57&lt;I77,"NA",I57-I77)), "NA")</f>
        <v>NA</v>
      </c>
      <c r="J78" s="107" t="str">
        <f>IF('Inputs - Time Series'!J51&gt;=0,(IF(J57&lt;J77,"NA",J57-J77)), "NA")</f>
        <v>NA</v>
      </c>
      <c r="K78" s="107" t="str">
        <f>IF('Inputs - Time Series'!K51&gt;=0,(IF(K57&lt;K77,"NA",K57-K77)), "NA")</f>
        <v>NA</v>
      </c>
      <c r="L78" s="107" t="str">
        <f>IF('Inputs - Time Series'!L51&gt;=0,(IF(L57&lt;L77,"NA",L57-L77)), "NA")</f>
        <v>NA</v>
      </c>
      <c r="M78" s="107" t="str">
        <f>IF('Inputs - Time Series'!M51&gt;=0,(IF(M57&lt;M77,"NA",M57-M77)), "NA")</f>
        <v>NA</v>
      </c>
      <c r="N78" s="307" t="str">
        <f>IF('Inputs - Time Series'!N51&gt;=0,(IF(N57&lt;N77,"NA",N57-N77)), "NA")</f>
        <v>NA</v>
      </c>
      <c r="O78" s="37"/>
    </row>
    <row r="79" spans="1:23" customFormat="1" ht="45.6" x14ac:dyDescent="0.4">
      <c r="A79" s="145" t="s">
        <v>100</v>
      </c>
      <c r="B79" s="268" t="s">
        <v>300</v>
      </c>
      <c r="C79" s="268" t="s">
        <v>300</v>
      </c>
      <c r="D79" s="268" t="s">
        <v>300</v>
      </c>
      <c r="E79" s="107">
        <f>IFERROR('Inputs - Time Series'!E52*E78, 0)</f>
        <v>0</v>
      </c>
      <c r="F79" s="107">
        <f>IFERROR('Inputs - Time Series'!F52*F78, 0)</f>
        <v>0</v>
      </c>
      <c r="G79" s="107">
        <f>IFERROR('Inputs - Time Series'!G52*G78, 0)</f>
        <v>0</v>
      </c>
      <c r="H79" s="107">
        <f>IFERROR('Inputs - Time Series'!H52*H78, 0)</f>
        <v>0</v>
      </c>
      <c r="I79" s="107">
        <f>IFERROR('Inputs - Time Series'!I52*I78, 0)</f>
        <v>0</v>
      </c>
      <c r="J79" s="107">
        <f>IFERROR('Inputs - Time Series'!J52*J78, 0)</f>
        <v>0</v>
      </c>
      <c r="K79" s="107">
        <f>IFERROR('Inputs - Time Series'!K52*K78, 0)</f>
        <v>0</v>
      </c>
      <c r="L79" s="107">
        <f>IFERROR('Inputs - Time Series'!L52*L78, 0)</f>
        <v>0</v>
      </c>
      <c r="M79" s="107">
        <f>IFERROR('Inputs - Time Series'!M52*M78, 0)</f>
        <v>0</v>
      </c>
      <c r="N79" s="307">
        <f>IFERROR('Inputs - Time Series'!N52*N78, 0)</f>
        <v>0</v>
      </c>
      <c r="O79" s="37" t="s">
        <v>55</v>
      </c>
    </row>
    <row r="80" spans="1:23" customFormat="1" ht="45.6" x14ac:dyDescent="0.4">
      <c r="A80" s="309" t="s">
        <v>101</v>
      </c>
      <c r="B80" s="267" t="s">
        <v>300</v>
      </c>
      <c r="C80" s="267" t="s">
        <v>300</v>
      </c>
      <c r="D80" s="267" t="s">
        <v>300</v>
      </c>
      <c r="E80" s="161">
        <f>IFERROR(E78-E79,0)</f>
        <v>0</v>
      </c>
      <c r="F80" s="161">
        <f t="shared" ref="F80:N80" si="10">IFERROR(F78-F79,0)</f>
        <v>0</v>
      </c>
      <c r="G80" s="161">
        <f>IFERROR(G78-G79,0)</f>
        <v>0</v>
      </c>
      <c r="H80" s="161">
        <f t="shared" si="10"/>
        <v>0</v>
      </c>
      <c r="I80" s="161">
        <f t="shared" si="10"/>
        <v>0</v>
      </c>
      <c r="J80" s="161">
        <f t="shared" si="10"/>
        <v>0</v>
      </c>
      <c r="K80" s="161">
        <f t="shared" si="10"/>
        <v>0</v>
      </c>
      <c r="L80" s="161">
        <f t="shared" si="10"/>
        <v>0</v>
      </c>
      <c r="M80" s="161">
        <f t="shared" si="10"/>
        <v>0</v>
      </c>
      <c r="N80" s="312">
        <f t="shared" si="10"/>
        <v>0</v>
      </c>
      <c r="O80" s="37" t="s">
        <v>102</v>
      </c>
    </row>
    <row r="81" spans="1:14" x14ac:dyDescent="0.4">
      <c r="A81" s="1" t="s">
        <v>342</v>
      </c>
    </row>
    <row r="82" spans="1:14" ht="68.400000000000006" x14ac:dyDescent="0.4">
      <c r="A82" s="106" t="s">
        <v>224</v>
      </c>
      <c r="B82" s="340" t="s">
        <v>320</v>
      </c>
      <c r="C82" s="340" t="s">
        <v>321</v>
      </c>
      <c r="D82" s="340" t="s">
        <v>322</v>
      </c>
      <c r="E82" s="349" t="s">
        <v>323</v>
      </c>
      <c r="F82" s="349" t="s">
        <v>324</v>
      </c>
      <c r="G82" s="349" t="s">
        <v>325</v>
      </c>
      <c r="H82" s="349" t="s">
        <v>326</v>
      </c>
      <c r="I82" s="349" t="s">
        <v>327</v>
      </c>
      <c r="J82" s="349" t="s">
        <v>328</v>
      </c>
      <c r="K82" s="349" t="s">
        <v>329</v>
      </c>
      <c r="L82" s="349" t="s">
        <v>330</v>
      </c>
      <c r="M82" s="349" t="s">
        <v>331</v>
      </c>
      <c r="N82" s="349" t="s">
        <v>332</v>
      </c>
    </row>
    <row r="83" spans="1:14" x14ac:dyDescent="0.4">
      <c r="A83" s="250" t="s">
        <v>223</v>
      </c>
      <c r="B83" s="267" t="s">
        <v>300</v>
      </c>
      <c r="C83" s="267" t="s">
        <v>300</v>
      </c>
      <c r="D83" s="267" t="s">
        <v>300</v>
      </c>
      <c r="E83" s="161">
        <f>E80+'Inputs - Time Series'!E55</f>
        <v>0</v>
      </c>
      <c r="F83" s="161">
        <f>F80+'Inputs - Time Series'!F55</f>
        <v>0</v>
      </c>
      <c r="G83" s="161">
        <f>G80+'Inputs - Time Series'!G55</f>
        <v>0</v>
      </c>
      <c r="H83" s="161">
        <f>H80+'Inputs - Time Series'!H55</f>
        <v>0</v>
      </c>
      <c r="I83" s="161">
        <f>I80+'Inputs - Time Series'!I55</f>
        <v>0</v>
      </c>
      <c r="J83" s="161">
        <f>J80+'Inputs - Time Series'!J55</f>
        <v>0</v>
      </c>
      <c r="K83" s="161">
        <f>K80+'Inputs - Time Series'!K55</f>
        <v>0</v>
      </c>
      <c r="L83" s="161">
        <f>L80+'Inputs - Time Series'!L55</f>
        <v>0</v>
      </c>
      <c r="M83" s="161">
        <f>M80+'Inputs - Time Series'!M55</f>
        <v>0</v>
      </c>
      <c r="N83" s="312">
        <f>N80+'Inputs - Time Series'!N55</f>
        <v>0</v>
      </c>
    </row>
  </sheetData>
  <phoneticPr fontId="3" type="noConversion"/>
  <pageMargins left="0.7" right="0.7" top="0.75" bottom="0.75" header="0.3" footer="0.3"/>
  <pageSetup orientation="portrait" verticalDpi="0" r:id="rId1"/>
  <tableParts count="13">
    <tablePart r:id="rId2"/>
    <tablePart r:id="rId3"/>
    <tablePart r:id="rId4"/>
    <tablePart r:id="rId5"/>
    <tablePart r:id="rId6"/>
    <tablePart r:id="rId7"/>
    <tablePart r:id="rId8"/>
    <tablePart r:id="rId9"/>
    <tablePart r:id="rId10"/>
    <tablePart r:id="rId11"/>
    <tablePart r:id="rId1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138" id="{7E720299-0EEB-42ED-860F-777D5AC00982}">
            <xm:f>'Inputs - Constant'!$A$66&lt;&gt;'Inputs - Constant'!$A$60</xm:f>
            <x14:dxf>
              <font>
                <color theme="1"/>
              </font>
              <fill>
                <patternFill patternType="darkTrellis">
                  <bgColor theme="1" tint="0.499984740745262"/>
                </patternFill>
              </fill>
            </x14:dxf>
          </x14:cfRule>
          <xm:sqref>B25:B26</xm:sqref>
        </x14:conditionalFormatting>
        <x14:conditionalFormatting xmlns:xm="http://schemas.microsoft.com/office/excel/2006/main">
          <x14:cfRule type="expression" priority="139" id="{A0210F78-4444-4119-9BD6-D73F73CA075A}">
            <xm:f>'Inputs - Constant'!$A$66&lt;&gt;'Inputs - Constant'!$A$61</xm:f>
            <x14:dxf>
              <font>
                <color theme="1"/>
              </font>
              <fill>
                <patternFill patternType="darkTrellis">
                  <bgColor theme="1" tint="0.499984740745262"/>
                </patternFill>
              </fill>
            </x14:dxf>
          </x14:cfRule>
          <xm:sqref>B42:N42 B45</xm:sqref>
        </x14:conditionalFormatting>
        <x14:conditionalFormatting xmlns:xm="http://schemas.microsoft.com/office/excel/2006/main">
          <x14:cfRule type="expression" priority="13" id="{D3D28FD4-86E1-4DA9-9DA3-AD0690A9AD44}">
            <xm:f>'Inputs - Constant'!E$90:N$90="No"</xm:f>
            <x14:dxf>
              <font>
                <color theme="1"/>
              </font>
              <fill>
                <patternFill patternType="darkTrellis">
                  <bgColor theme="1" tint="0.499984740745262"/>
                </patternFill>
              </fill>
            </x14:dxf>
          </x14:cfRule>
          <xm:sqref>E10:N12 E42:N42 E54:N57 E62:N62 E77:N80 E83:N83</xm:sqref>
        </x14:conditionalFormatting>
        <x14:conditionalFormatting xmlns:xm="http://schemas.microsoft.com/office/excel/2006/main">
          <x14:cfRule type="expression" priority="147" id="{0E905DE0-9E0E-415A-98B4-A93934FCD9B1}">
            <xm:f>'Inputs - Constant'!E$90:N$90="No"</xm:f>
            <x14:dxf>
              <font>
                <color theme="1"/>
              </font>
              <fill>
                <patternFill patternType="darkTrellis">
                  <bgColor theme="1" tint="0.499984740745262"/>
                </patternFill>
              </fill>
            </x14:dxf>
          </x14:cfRule>
          <x14:cfRule type="expression" priority="148" id="{881FE406-5AB1-469F-9F60-6707D69E068D}">
            <xm:f>'Inputs - Constant'!$A$66&lt;&gt;'Inputs - Constant'!$A$60</xm:f>
            <x14:dxf>
              <font>
                <color theme="1"/>
              </font>
              <fill>
                <patternFill patternType="darkTrellis">
                  <bgColor theme="1" tint="0.499984740745262"/>
                </patternFill>
              </fill>
            </x14:dxf>
          </x14:cfRule>
          <xm:sqref>E29:N37</xm:sqref>
        </x14:conditionalFormatting>
        <x14:conditionalFormatting xmlns:xm="http://schemas.microsoft.com/office/excel/2006/main">
          <x14:cfRule type="expression" priority="28" id="{EE077BF1-A39F-4B38-BC46-4438F1041CD2}">
            <xm:f>'Inputs - Time Series'!E$43:N$43&gt;0</xm:f>
            <x14:dxf>
              <font>
                <color theme="1"/>
              </font>
              <fill>
                <patternFill patternType="darkTrellis">
                  <bgColor theme="1" tint="0.499984740745262"/>
                </patternFill>
              </fill>
            </x14:dxf>
          </x14:cfRule>
          <xm:sqref>E54:N56</xm:sqref>
        </x14:conditionalFormatting>
        <x14:conditionalFormatting xmlns:xm="http://schemas.microsoft.com/office/excel/2006/main">
          <x14:cfRule type="expression" priority="149" id="{23448CE1-A586-4E82-ABD0-BAF18F48B71B}">
            <xm:f>'Inputs - Constant'!E$90:N$90="No"</xm:f>
            <x14:dxf>
              <font>
                <color theme="1"/>
              </font>
              <fill>
                <patternFill patternType="darkTrellis">
                  <bgColor theme="1" tint="0.499984740745262"/>
                </patternFill>
              </fill>
            </x14:dxf>
          </x14:cfRule>
          <x14:cfRule type="expression" priority="150" id="{0F166D43-CEF9-4A31-BB98-9B3A949FA4E8}">
            <xm:f>'Inputs - Constant'!$A$66&lt;&gt;'Inputs - Constant'!$A$62</xm:f>
            <x14:dxf>
              <font>
                <color auto="1"/>
              </font>
              <fill>
                <patternFill patternType="darkTrellis">
                  <bgColor theme="1" tint="0.499984740745262"/>
                </patternFill>
              </fill>
            </x14:dxf>
          </x14:cfRule>
          <xm:sqref>E70:N73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224E-2810-4521-A0B7-D27DFEDA45E6}">
  <sheetPr codeName="Sheet7">
    <tabColor theme="4" tint="-0.499984740745262"/>
  </sheetPr>
  <dimension ref="A1:Y84"/>
  <sheetViews>
    <sheetView showGridLines="0" zoomScale="55" zoomScaleNormal="55" workbookViewId="0">
      <pane ySplit="1" topLeftCell="A3" activePane="bottomLeft" state="frozen"/>
      <selection pane="bottomLeft"/>
    </sheetView>
  </sheetViews>
  <sheetFormatPr defaultColWidth="8.6640625" defaultRowHeight="22.8" x14ac:dyDescent="0.4"/>
  <cols>
    <col min="1" max="1" width="106.6640625" style="1" customWidth="1"/>
    <col min="2" max="2" width="27.44140625" style="3" customWidth="1"/>
    <col min="3" max="4" width="25.6640625" style="3" customWidth="1"/>
    <col min="5" max="5" width="29.33203125" style="3" customWidth="1"/>
    <col min="6" max="12" width="25.6640625" style="3" customWidth="1"/>
    <col min="13" max="13" width="20.33203125" style="3" customWidth="1"/>
    <col min="14" max="14" width="19.6640625" style="3" bestFit="1" customWidth="1"/>
    <col min="15" max="15" width="17.33203125" style="3" bestFit="1" customWidth="1"/>
    <col min="16" max="23" width="8.6640625" style="3"/>
    <col min="24" max="24" width="29.33203125" style="1" bestFit="1" customWidth="1"/>
    <col min="25" max="25" width="14" style="1" customWidth="1"/>
    <col min="26" max="33" width="8.6640625" style="1"/>
    <col min="34" max="34" width="27.33203125" style="1" customWidth="1"/>
    <col min="35" max="35" width="16.6640625" style="1" customWidth="1"/>
    <col min="36" max="16384" width="8.6640625" style="1"/>
  </cols>
  <sheetData>
    <row r="1" spans="1:25" ht="54.6" customHeight="1" x14ac:dyDescent="0.4">
      <c r="A1" s="147" t="s">
        <v>12</v>
      </c>
      <c r="D1"/>
    </row>
    <row r="2" spans="1:25" ht="27.6" hidden="1" customHeight="1" x14ac:dyDescent="0.4">
      <c r="A2" s="147"/>
      <c r="D2"/>
    </row>
    <row r="3" spans="1:25" ht="100.2" customHeight="1" x14ac:dyDescent="0.4">
      <c r="A3" s="401" t="s">
        <v>86</v>
      </c>
      <c r="B3" s="401"/>
      <c r="C3" s="148"/>
      <c r="D3" s="148"/>
      <c r="G3" s="149"/>
      <c r="H3" s="150"/>
      <c r="I3" s="150"/>
      <c r="J3" s="150"/>
      <c r="K3" s="150"/>
      <c r="L3" s="150"/>
      <c r="M3" s="150"/>
      <c r="N3" s="150"/>
      <c r="O3" s="150"/>
      <c r="P3" s="150"/>
      <c r="Q3" s="150"/>
      <c r="R3" s="150"/>
      <c r="S3" s="150"/>
      <c r="T3" s="150"/>
      <c r="U3" s="150"/>
      <c r="V3" s="150"/>
      <c r="X3" s="151"/>
      <c r="Y3" s="152"/>
    </row>
    <row r="4" spans="1:25" ht="22.5" hidden="1" customHeight="1" x14ac:dyDescent="0.4">
      <c r="A4" s="149"/>
      <c r="B4" s="149"/>
      <c r="C4" s="149"/>
      <c r="D4" s="149"/>
      <c r="G4" s="151"/>
      <c r="H4" s="152"/>
      <c r="X4" s="153"/>
      <c r="Y4" s="154"/>
    </row>
    <row r="5" spans="1:25" ht="44.4" x14ac:dyDescent="0.5">
      <c r="A5" s="155" t="str">
        <f>'Inputs - Constant'!A14</f>
        <v>California DOT EVCI P3 Test: Run 1 (Baseline Multiple Revenue Scenario)</v>
      </c>
      <c r="G5" s="156"/>
      <c r="H5" s="227"/>
      <c r="X5" s="153"/>
      <c r="Y5" s="8"/>
    </row>
    <row r="6" spans="1:25" ht="27" x14ac:dyDescent="0.4">
      <c r="A6" s="1" t="s">
        <v>342</v>
      </c>
      <c r="E6" s="156"/>
      <c r="F6" s="8"/>
    </row>
    <row r="7" spans="1:25" s="5" customFormat="1" ht="30" x14ac:dyDescent="0.5">
      <c r="A7" s="157" t="s">
        <v>116</v>
      </c>
      <c r="B7" s="9"/>
      <c r="C7" s="9"/>
      <c r="D7" s="9"/>
      <c r="E7" s="9"/>
      <c r="F7" s="9"/>
      <c r="G7" s="9"/>
      <c r="H7" s="9"/>
      <c r="I7" s="9"/>
      <c r="J7" s="9"/>
      <c r="K7" s="9"/>
      <c r="L7" s="9"/>
      <c r="M7" s="9"/>
      <c r="N7" s="9"/>
      <c r="O7" s="9"/>
      <c r="P7" s="9"/>
      <c r="Q7" s="9"/>
      <c r="R7" s="9"/>
      <c r="S7" s="9"/>
      <c r="T7" s="9"/>
      <c r="U7" s="9"/>
      <c r="V7" s="9"/>
      <c r="W7" s="9"/>
    </row>
    <row r="8" spans="1:25" hidden="1" x14ac:dyDescent="0.4">
      <c r="A8" s="40"/>
      <c r="B8" s="158">
        <v>0</v>
      </c>
      <c r="C8" s="158">
        <v>1</v>
      </c>
      <c r="D8" s="158">
        <v>2</v>
      </c>
      <c r="E8" s="158">
        <v>3</v>
      </c>
      <c r="F8" s="158">
        <v>4</v>
      </c>
      <c r="G8" s="158">
        <v>5</v>
      </c>
      <c r="H8" s="158">
        <v>6</v>
      </c>
      <c r="I8" s="158">
        <v>7</v>
      </c>
      <c r="J8" s="158">
        <v>8</v>
      </c>
      <c r="K8" s="158">
        <v>9</v>
      </c>
      <c r="L8" s="158">
        <v>10</v>
      </c>
      <c r="M8" s="158">
        <v>11</v>
      </c>
      <c r="N8" s="158">
        <v>12</v>
      </c>
    </row>
    <row r="9" spans="1:25" ht="94.2" customHeight="1" x14ac:dyDescent="0.4">
      <c r="A9" s="105" t="s">
        <v>175</v>
      </c>
      <c r="B9" s="340" t="s">
        <v>320</v>
      </c>
      <c r="C9" s="340" t="s">
        <v>321</v>
      </c>
      <c r="D9" s="340" t="s">
        <v>322</v>
      </c>
      <c r="E9" s="349" t="s">
        <v>323</v>
      </c>
      <c r="F9" s="349" t="s">
        <v>324</v>
      </c>
      <c r="G9" s="349" t="s">
        <v>325</v>
      </c>
      <c r="H9" s="349" t="s">
        <v>326</v>
      </c>
      <c r="I9" s="349" t="s">
        <v>327</v>
      </c>
      <c r="J9" s="349" t="s">
        <v>328</v>
      </c>
      <c r="K9" s="349" t="s">
        <v>329</v>
      </c>
      <c r="L9" s="349" t="s">
        <v>330</v>
      </c>
      <c r="M9" s="349" t="s">
        <v>331</v>
      </c>
      <c r="N9" s="349" t="s">
        <v>332</v>
      </c>
      <c r="O9" s="159"/>
      <c r="P9" s="159"/>
      <c r="Q9" s="159"/>
      <c r="R9" s="159"/>
      <c r="S9" s="159"/>
      <c r="T9" s="159"/>
      <c r="U9" s="159"/>
      <c r="V9" s="159"/>
      <c r="W9" s="159"/>
      <c r="X9" s="159"/>
      <c r="Y9" s="159"/>
    </row>
    <row r="10" spans="1:25" x14ac:dyDescent="0.4">
      <c r="A10" s="160" t="s">
        <v>137</v>
      </c>
      <c r="B10" s="161">
        <f>Outputs!B12</f>
        <v>650000</v>
      </c>
      <c r="C10" s="161">
        <f>Outputs!C12</f>
        <v>325000</v>
      </c>
      <c r="D10" s="161">
        <f>Outputs!D12</f>
        <v>325000</v>
      </c>
      <c r="E10" s="268" t="s">
        <v>300</v>
      </c>
      <c r="F10" s="268" t="s">
        <v>300</v>
      </c>
      <c r="G10" s="268" t="s">
        <v>300</v>
      </c>
      <c r="H10" s="268" t="s">
        <v>300</v>
      </c>
      <c r="I10" s="268" t="s">
        <v>300</v>
      </c>
      <c r="J10" s="268" t="s">
        <v>300</v>
      </c>
      <c r="K10" s="268" t="s">
        <v>300</v>
      </c>
      <c r="L10" s="268" t="s">
        <v>300</v>
      </c>
      <c r="M10" s="268" t="s">
        <v>300</v>
      </c>
      <c r="N10" s="284" t="s">
        <v>300</v>
      </c>
      <c r="O10" s="129"/>
      <c r="P10" s="129"/>
      <c r="Q10" s="129"/>
      <c r="R10" s="129"/>
      <c r="S10" s="129"/>
      <c r="T10" s="129"/>
      <c r="U10" s="129"/>
      <c r="V10" s="129"/>
      <c r="W10" s="129"/>
      <c r="X10" s="129"/>
      <c r="Y10" s="129"/>
    </row>
    <row r="11" spans="1:25" x14ac:dyDescent="0.4">
      <c r="A11" s="160" t="s">
        <v>87</v>
      </c>
      <c r="B11" s="268" t="s">
        <v>300</v>
      </c>
      <c r="C11" s="268" t="s">
        <v>300</v>
      </c>
      <c r="D11" s="268" t="s">
        <v>300</v>
      </c>
      <c r="E11" s="161">
        <f>Outputs!E57</f>
        <v>122258.96189999999</v>
      </c>
      <c r="F11" s="161">
        <f>Outputs!F57</f>
        <v>131581.20774487496</v>
      </c>
      <c r="G11" s="161">
        <f>Outputs!G57</f>
        <v>141614.27483542167</v>
      </c>
      <c r="H11" s="161">
        <f>Outputs!H57</f>
        <v>152412.36329162258</v>
      </c>
      <c r="I11" s="161">
        <f>Outputs!I57</f>
        <v>164033.80599260874</v>
      </c>
      <c r="J11" s="161">
        <f>Outputs!J57</f>
        <v>176541.38369954514</v>
      </c>
      <c r="K11" s="161">
        <f>Outputs!K57</f>
        <v>190002.66420663544</v>
      </c>
      <c r="L11" s="161">
        <f>Outputs!L57</f>
        <v>204490.36735239139</v>
      </c>
      <c r="M11" s="161">
        <f>Outputs!M57</f>
        <v>220082.75786301124</v>
      </c>
      <c r="N11" s="312">
        <f>Outputs!N57</f>
        <v>236864.06815006587</v>
      </c>
      <c r="O11" s="129"/>
      <c r="P11" s="129"/>
      <c r="Q11" s="129"/>
      <c r="R11" s="129"/>
      <c r="S11" s="129"/>
      <c r="T11" s="129"/>
      <c r="U11" s="129"/>
      <c r="V11" s="129"/>
      <c r="W11" s="129"/>
      <c r="X11" s="129"/>
      <c r="Y11" s="129"/>
    </row>
    <row r="12" spans="1:25" ht="57.45" customHeight="1" x14ac:dyDescent="0.4">
      <c r="A12" s="36" t="s">
        <v>318</v>
      </c>
      <c r="B12" s="268" t="s">
        <v>300</v>
      </c>
      <c r="C12" s="268" t="s">
        <v>300</v>
      </c>
      <c r="D12" s="268" t="s">
        <v>300</v>
      </c>
      <c r="E12" s="107">
        <f>Outputs!E12</f>
        <v>100000</v>
      </c>
      <c r="F12" s="107">
        <f>Outputs!F12</f>
        <v>105062.5</v>
      </c>
      <c r="G12" s="107">
        <f>Outputs!G12</f>
        <v>110446.95312499999</v>
      </c>
      <c r="H12" s="107">
        <f>Outputs!H12</f>
        <v>116176.30673828122</v>
      </c>
      <c r="I12" s="107">
        <f>Outputs!I12</f>
        <v>172275.21790051265</v>
      </c>
      <c r="J12" s="107">
        <f>Outputs!J12</f>
        <v>128770.18273320017</v>
      </c>
      <c r="K12" s="107">
        <f>Outputs!K12</f>
        <v>135689.67562107445</v>
      </c>
      <c r="L12" s="107">
        <f>Outputs!L12</f>
        <v>143064.29900301082</v>
      </c>
      <c r="M12" s="107">
        <f>Outputs!M12</f>
        <v>150926.94455821562</v>
      </c>
      <c r="N12" s="307">
        <f>Outputs!N12</f>
        <v>159312.96665591036</v>
      </c>
      <c r="O12" s="129"/>
      <c r="P12" s="129"/>
      <c r="Q12" s="129"/>
      <c r="R12" s="129"/>
      <c r="S12" s="129"/>
      <c r="T12" s="129"/>
      <c r="U12" s="129"/>
      <c r="V12" s="129"/>
      <c r="W12" s="129"/>
      <c r="X12" s="129"/>
      <c r="Y12" s="129"/>
    </row>
    <row r="13" spans="1:25" ht="51.6" customHeight="1" thickBot="1" x14ac:dyDescent="0.45">
      <c r="A13" s="122" t="s">
        <v>140</v>
      </c>
      <c r="B13" s="282" t="s">
        <v>300</v>
      </c>
      <c r="C13" s="282" t="s">
        <v>300</v>
      </c>
      <c r="D13" s="282" t="s">
        <v>300</v>
      </c>
      <c r="E13" s="162">
        <f>Outputs!E35</f>
        <v>136518.66706523055</v>
      </c>
      <c r="F13" s="162">
        <f>Outputs!F35</f>
        <v>150170.5337717536</v>
      </c>
      <c r="G13" s="162">
        <f>Outputs!G35</f>
        <v>165187.58714892899</v>
      </c>
      <c r="H13" s="162">
        <f>Outputs!H35</f>
        <v>181706.34586382189</v>
      </c>
      <c r="I13" s="162">
        <f>Outputs!I35</f>
        <v>199876.98045020411</v>
      </c>
      <c r="J13" s="162">
        <f>Outputs!J35</f>
        <v>219864.67849522451</v>
      </c>
      <c r="K13" s="162">
        <f>Outputs!K35</f>
        <v>241851.14634474699</v>
      </c>
      <c r="L13" s="162">
        <f>Outputs!L35</f>
        <v>266036.26097922173</v>
      </c>
      <c r="M13" s="162">
        <f>Outputs!M35</f>
        <v>292639.88707714394</v>
      </c>
      <c r="N13" s="313">
        <f>Outputs!N35</f>
        <v>321903.8757848583</v>
      </c>
      <c r="O13" s="129"/>
      <c r="P13" s="129"/>
      <c r="Q13" s="129"/>
      <c r="R13" s="129"/>
      <c r="S13" s="129"/>
      <c r="T13" s="129"/>
      <c r="U13" s="129"/>
      <c r="V13" s="129"/>
      <c r="W13" s="129"/>
      <c r="X13" s="129"/>
      <c r="Y13" s="129"/>
    </row>
    <row r="14" spans="1:25" x14ac:dyDescent="0.4">
      <c r="A14" s="163" t="s">
        <v>44</v>
      </c>
      <c r="B14" s="164">
        <f>-B10</f>
        <v>-650000</v>
      </c>
      <c r="C14" s="164">
        <f>-C10</f>
        <v>-325000</v>
      </c>
      <c r="D14" s="164">
        <f>-D10</f>
        <v>-325000</v>
      </c>
      <c r="E14" s="164">
        <f>E11-E12+E13</f>
        <v>158777.62896523054</v>
      </c>
      <c r="F14" s="164">
        <f t="shared" ref="F14:N14" si="0">F11-F12+F13</f>
        <v>176689.24151662856</v>
      </c>
      <c r="G14" s="164">
        <f t="shared" si="0"/>
        <v>196354.90885935066</v>
      </c>
      <c r="H14" s="164">
        <f t="shared" si="0"/>
        <v>217942.40241716325</v>
      </c>
      <c r="I14" s="164">
        <f t="shared" si="0"/>
        <v>191635.5685423002</v>
      </c>
      <c r="J14" s="164">
        <f t="shared" si="0"/>
        <v>267635.87946156948</v>
      </c>
      <c r="K14" s="164">
        <f t="shared" si="0"/>
        <v>296164.13493030798</v>
      </c>
      <c r="L14" s="164">
        <f t="shared" si="0"/>
        <v>327462.3293286023</v>
      </c>
      <c r="M14" s="164">
        <f t="shared" si="0"/>
        <v>361795.70038193953</v>
      </c>
      <c r="N14" s="314">
        <f t="shared" si="0"/>
        <v>399454.97727901384</v>
      </c>
      <c r="O14" s="129"/>
      <c r="P14" s="129"/>
      <c r="Q14" s="129"/>
      <c r="R14" s="129"/>
      <c r="S14" s="129"/>
      <c r="T14" s="129"/>
      <c r="U14" s="129"/>
      <c r="V14" s="129"/>
      <c r="W14" s="129"/>
      <c r="X14" s="129"/>
      <c r="Y14" s="129"/>
    </row>
    <row r="15" spans="1:25" ht="23.4" thickBot="1" x14ac:dyDescent="0.45">
      <c r="A15" s="165" t="s">
        <v>77</v>
      </c>
      <c r="B15" s="166">
        <f>1/((1+'Inputs - Constant'!$B$66)^(B8))</f>
        <v>1</v>
      </c>
      <c r="C15" s="166">
        <f>1/((1+'Inputs - Constant'!$B$66)^(C8))</f>
        <v>0.90909090909090906</v>
      </c>
      <c r="D15" s="166">
        <f>1/((1+'Inputs - Constant'!$B$66)^(D8))</f>
        <v>0.82644628099173545</v>
      </c>
      <c r="E15" s="166">
        <f>IF('Inputs - Constant'!E90="Yes",1/((1+'Inputs - Constant'!$B$66)^(E8)),0)</f>
        <v>0.75131480090157754</v>
      </c>
      <c r="F15" s="166">
        <f>IF('Inputs - Constant'!F90="Yes",1/((1+'Inputs - Constant'!$B$66)^(F8)),0)</f>
        <v>0.68301345536507052</v>
      </c>
      <c r="G15" s="166">
        <f>IF('Inputs - Constant'!G90="Yes",1/((1+'Inputs - Constant'!$B$66)^(G8)),0)</f>
        <v>0.62092132305915493</v>
      </c>
      <c r="H15" s="166">
        <f>IF('Inputs - Constant'!H90="Yes",1/((1+'Inputs - Constant'!$B$66)^(H8)),0)</f>
        <v>0.56447393005377722</v>
      </c>
      <c r="I15" s="166">
        <f>IF('Inputs - Constant'!I90="Yes",1/((1+'Inputs - Constant'!$B$66)^(I8)),0)</f>
        <v>0.51315811823070645</v>
      </c>
      <c r="J15" s="166">
        <f>IF('Inputs - Constant'!J90="Yes",1/((1+'Inputs - Constant'!$B$66)^(J8)),0)</f>
        <v>0.46650738020973315</v>
      </c>
      <c r="K15" s="166">
        <f>IF('Inputs - Constant'!K90="Yes",1/((1+'Inputs - Constant'!$B$66)^(K8)),0)</f>
        <v>0.42409761837248466</v>
      </c>
      <c r="L15" s="166">
        <f>IF('Inputs - Constant'!L90="Yes",1/((1+'Inputs - Constant'!$B$66)^(L8)),0)</f>
        <v>0.38554328942953148</v>
      </c>
      <c r="M15" s="166">
        <f>IF('Inputs - Constant'!M90="Yes",1/((1+'Inputs - Constant'!$B$66)^(M8)),0)</f>
        <v>0.3504938994813922</v>
      </c>
      <c r="N15" s="315">
        <f>IF('Inputs - Constant'!N90="Yes",1/((1+'Inputs - Constant'!$B$66)^(N8)),0)</f>
        <v>0.31863081771035656</v>
      </c>
      <c r="O15" s="129"/>
      <c r="P15" s="129"/>
      <c r="Q15" s="129"/>
      <c r="R15" s="129"/>
      <c r="S15" s="129"/>
      <c r="T15" s="129"/>
      <c r="U15" s="129"/>
      <c r="V15" s="129"/>
      <c r="W15" s="129"/>
      <c r="X15" s="129"/>
      <c r="Y15" s="129"/>
    </row>
    <row r="16" spans="1:25" x14ac:dyDescent="0.4">
      <c r="A16" s="163" t="s">
        <v>58</v>
      </c>
      <c r="B16" s="167">
        <f t="shared" ref="B16:N16" si="1">B14*B15</f>
        <v>-650000</v>
      </c>
      <c r="C16" s="167">
        <f t="shared" si="1"/>
        <v>-295454.54545454547</v>
      </c>
      <c r="D16" s="167">
        <f t="shared" si="1"/>
        <v>-268595.04132231401</v>
      </c>
      <c r="E16" s="167">
        <f t="shared" si="1"/>
        <v>119291.98269363673</v>
      </c>
      <c r="F16" s="167">
        <f t="shared" si="1"/>
        <v>120681.12937410595</v>
      </c>
      <c r="G16" s="167">
        <f t="shared" si="1"/>
        <v>121920.94979810779</v>
      </c>
      <c r="H16" s="167">
        <f t="shared" si="1"/>
        <v>123022.80441777798</v>
      </c>
      <c r="I16" s="167">
        <f t="shared" si="1"/>
        <v>98339.347739238336</v>
      </c>
      <c r="J16" s="167">
        <f t="shared" si="1"/>
        <v>124854.11297774471</v>
      </c>
      <c r="K16" s="167">
        <f t="shared" si="1"/>
        <v>125602.5042712908</v>
      </c>
      <c r="L16" s="167">
        <f t="shared" si="1"/>
        <v>126250.90361360587</v>
      </c>
      <c r="M16" s="167">
        <f t="shared" si="1"/>
        <v>126807.1858424674</v>
      </c>
      <c r="N16" s="316">
        <f t="shared" si="1"/>
        <v>127278.66604888409</v>
      </c>
      <c r="O16" s="129"/>
      <c r="P16" s="129"/>
      <c r="Q16" s="129"/>
      <c r="R16" s="129"/>
      <c r="S16" s="129"/>
      <c r="T16" s="129"/>
      <c r="U16" s="129"/>
      <c r="V16" s="129"/>
      <c r="W16" s="129"/>
      <c r="X16" s="129"/>
      <c r="Y16" s="129"/>
    </row>
    <row r="17" spans="1:25" x14ac:dyDescent="0.4">
      <c r="A17" s="317" t="s">
        <v>45</v>
      </c>
      <c r="B17" s="118">
        <f>B16</f>
        <v>-650000</v>
      </c>
      <c r="C17" s="118">
        <f>B17+C16</f>
        <v>-945454.54545454541</v>
      </c>
      <c r="D17" s="118">
        <f t="shared" ref="D17:N17" si="2">C17+D16</f>
        <v>-1214049.5867768594</v>
      </c>
      <c r="E17" s="118">
        <f t="shared" si="2"/>
        <v>-1094757.6040832226</v>
      </c>
      <c r="F17" s="118">
        <f t="shared" si="2"/>
        <v>-974076.47470911662</v>
      </c>
      <c r="G17" s="118">
        <f t="shared" si="2"/>
        <v>-852155.52491100878</v>
      </c>
      <c r="H17" s="118">
        <f t="shared" si="2"/>
        <v>-729132.72049323074</v>
      </c>
      <c r="I17" s="118">
        <f t="shared" si="2"/>
        <v>-630793.37275399244</v>
      </c>
      <c r="J17" s="118">
        <f t="shared" si="2"/>
        <v>-505939.25977624772</v>
      </c>
      <c r="K17" s="118">
        <f t="shared" si="2"/>
        <v>-380336.75550495693</v>
      </c>
      <c r="L17" s="118">
        <f t="shared" si="2"/>
        <v>-254085.85189135105</v>
      </c>
      <c r="M17" s="118">
        <f>L17+M16</f>
        <v>-127278.66604888365</v>
      </c>
      <c r="N17" s="293">
        <f t="shared" si="2"/>
        <v>4.3655745685100555E-10</v>
      </c>
      <c r="O17" s="129"/>
      <c r="P17" s="129"/>
      <c r="Q17" s="129"/>
      <c r="R17" s="129"/>
      <c r="S17" s="129"/>
      <c r="T17" s="129"/>
      <c r="U17" s="129"/>
      <c r="V17" s="129"/>
      <c r="W17" s="129"/>
      <c r="X17" s="129"/>
      <c r="Y17" s="129"/>
    </row>
    <row r="18" spans="1:25" x14ac:dyDescent="0.4">
      <c r="A18" s="1" t="s">
        <v>342</v>
      </c>
    </row>
    <row r="19" spans="1:25" ht="24.6" x14ac:dyDescent="0.4">
      <c r="A19" s="134" t="s">
        <v>56</v>
      </c>
      <c r="B19" s="134" t="s">
        <v>147</v>
      </c>
      <c r="D19" s="1"/>
      <c r="E19" s="1"/>
      <c r="L19" s="169"/>
    </row>
    <row r="20" spans="1:25" x14ac:dyDescent="0.4">
      <c r="A20" s="145" t="s">
        <v>138</v>
      </c>
      <c r="B20" s="109">
        <f>SUM(B16:N16)</f>
        <v>4.3655745685100555E-10</v>
      </c>
      <c r="C20" s="170" t="s">
        <v>88</v>
      </c>
      <c r="D20" s="171"/>
      <c r="E20" s="1"/>
      <c r="K20" s="144"/>
    </row>
    <row r="21" spans="1:25" ht="49.5" customHeight="1" x14ac:dyDescent="0.4">
      <c r="A21" s="145" t="s">
        <v>139</v>
      </c>
      <c r="B21" s="172">
        <f>IFERROR(IRR(B14:N14),"")</f>
        <v>0.10000000000000009</v>
      </c>
      <c r="C21" s="158" t="s">
        <v>237</v>
      </c>
      <c r="D21" s="1"/>
      <c r="E21" s="1"/>
      <c r="K21" s="187"/>
    </row>
    <row r="22" spans="1:25" ht="66.599999999999994" customHeight="1" x14ac:dyDescent="0.4">
      <c r="A22" s="309" t="s">
        <v>265</v>
      </c>
      <c r="B22" s="318" cm="1">
        <f t="array" aca="1" ref="B22" ca="1">IFERROR((MATCH(TRUE,INDEX(B17:N17&gt;=-0.001,0),0)-2)+((-INDEX(B17:N17,MATCH(TRUE,INDEX(B17:N17&gt;=-0.001,0),0)-1))/(OFFSET(INDEX(B17:N17, MATCH(TRUE, INDEX(B17:N17&gt;=-0.001, 0), 0)), -1, 0))),"N/A")</f>
        <v>11.999999999999996</v>
      </c>
      <c r="C22" s="342" t="s">
        <v>266</v>
      </c>
      <c r="D22" s="343"/>
      <c r="E22" s="343"/>
      <c r="F22" s="343"/>
      <c r="G22" s="343"/>
      <c r="H22" s="343"/>
      <c r="I22" s="343"/>
      <c r="J22" s="343"/>
      <c r="K22"/>
    </row>
    <row r="23" spans="1:25" x14ac:dyDescent="0.4">
      <c r="A23" s="1" t="s">
        <v>342</v>
      </c>
      <c r="D23" s="1"/>
      <c r="E23" s="1"/>
      <c r="J23" s="169"/>
    </row>
    <row r="24" spans="1:25" s="5" customFormat="1" ht="30" x14ac:dyDescent="0.5">
      <c r="A24" s="157" t="s">
        <v>118</v>
      </c>
      <c r="B24" s="9"/>
      <c r="C24" s="9"/>
      <c r="D24" s="9"/>
      <c r="E24" s="9"/>
      <c r="F24" s="9"/>
      <c r="G24" s="9"/>
      <c r="H24" s="9"/>
      <c r="I24" s="9"/>
      <c r="J24" s="9"/>
      <c r="K24" s="9"/>
      <c r="L24" s="9"/>
      <c r="M24" s="9"/>
      <c r="N24" s="9"/>
      <c r="O24" s="9"/>
      <c r="P24" s="9"/>
      <c r="Q24" s="9"/>
      <c r="R24" s="9"/>
      <c r="S24" s="9"/>
      <c r="T24" s="9"/>
      <c r="U24" s="9"/>
      <c r="V24" s="9"/>
      <c r="W24" s="9"/>
    </row>
    <row r="25" spans="1:25" hidden="1" x14ac:dyDescent="0.4">
      <c r="A25" s="40"/>
      <c r="B25" s="158">
        <v>0</v>
      </c>
      <c r="C25" s="158">
        <v>1</v>
      </c>
      <c r="D25" s="158">
        <v>2</v>
      </c>
      <c r="E25" s="158">
        <v>3</v>
      </c>
      <c r="F25" s="158">
        <v>4</v>
      </c>
      <c r="G25" s="158">
        <v>5</v>
      </c>
      <c r="H25" s="158">
        <v>6</v>
      </c>
      <c r="I25" s="158">
        <v>7</v>
      </c>
      <c r="J25" s="158">
        <v>8</v>
      </c>
      <c r="K25" s="158">
        <v>9</v>
      </c>
      <c r="L25" s="158">
        <v>10</v>
      </c>
      <c r="M25" s="158">
        <v>11</v>
      </c>
      <c r="N25" s="158">
        <v>12</v>
      </c>
    </row>
    <row r="26" spans="1:25" ht="102.6" customHeight="1" x14ac:dyDescent="0.4">
      <c r="A26" s="134" t="s">
        <v>176</v>
      </c>
      <c r="B26" s="340" t="s">
        <v>320</v>
      </c>
      <c r="C26" s="340" t="s">
        <v>321</v>
      </c>
      <c r="D26" s="340" t="s">
        <v>322</v>
      </c>
      <c r="E26" s="341" t="s">
        <v>323</v>
      </c>
      <c r="F26" s="341" t="s">
        <v>324</v>
      </c>
      <c r="G26" s="341" t="s">
        <v>325</v>
      </c>
      <c r="H26" s="341" t="s">
        <v>326</v>
      </c>
      <c r="I26" s="341" t="s">
        <v>327</v>
      </c>
      <c r="J26" s="341" t="s">
        <v>328</v>
      </c>
      <c r="K26" s="341" t="s">
        <v>329</v>
      </c>
      <c r="L26" s="341" t="s">
        <v>330</v>
      </c>
      <c r="M26" s="341" t="s">
        <v>331</v>
      </c>
      <c r="N26" s="341" t="s">
        <v>332</v>
      </c>
      <c r="O26" s="159"/>
      <c r="P26" s="159"/>
      <c r="Q26" s="159"/>
      <c r="R26" s="159"/>
      <c r="S26" s="159"/>
      <c r="T26" s="159"/>
      <c r="U26" s="159"/>
      <c r="V26" s="159"/>
      <c r="W26" s="159"/>
      <c r="X26" s="159"/>
      <c r="Y26" s="159"/>
    </row>
    <row r="27" spans="1:25" x14ac:dyDescent="0.4">
      <c r="A27" s="160" t="s">
        <v>76</v>
      </c>
      <c r="B27" s="161">
        <f>Outputs!B9</f>
        <v>650000</v>
      </c>
      <c r="C27" s="161">
        <f>Outputs!C9</f>
        <v>325000</v>
      </c>
      <c r="D27" s="161">
        <f>Outputs!D9</f>
        <v>325000</v>
      </c>
      <c r="E27" s="268" t="s">
        <v>300</v>
      </c>
      <c r="F27" s="268" t="s">
        <v>300</v>
      </c>
      <c r="G27" s="268" t="s">
        <v>300</v>
      </c>
      <c r="H27" s="268" t="s">
        <v>300</v>
      </c>
      <c r="I27" s="268" t="s">
        <v>300</v>
      </c>
      <c r="J27" s="268" t="s">
        <v>300</v>
      </c>
      <c r="K27" s="268" t="s">
        <v>300</v>
      </c>
      <c r="L27" s="268" t="s">
        <v>300</v>
      </c>
      <c r="M27" s="268" t="s">
        <v>300</v>
      </c>
      <c r="N27" s="284" t="s">
        <v>300</v>
      </c>
      <c r="O27" s="129"/>
      <c r="P27" s="129"/>
      <c r="Q27" s="129"/>
      <c r="R27" s="129"/>
      <c r="S27" s="129"/>
      <c r="T27" s="129"/>
      <c r="U27" s="129"/>
      <c r="V27" s="129"/>
      <c r="W27" s="129"/>
      <c r="X27" s="129"/>
      <c r="Y27" s="129"/>
    </row>
    <row r="28" spans="1:25" ht="26.25" customHeight="1" x14ac:dyDescent="0.4">
      <c r="A28" s="36" t="s">
        <v>51</v>
      </c>
      <c r="B28" s="268" t="s">
        <v>300</v>
      </c>
      <c r="C28" s="268" t="s">
        <v>300</v>
      </c>
      <c r="D28" s="268" t="s">
        <v>300</v>
      </c>
      <c r="E28" s="107">
        <f>Outputs!E62</f>
        <v>22258.961899999995</v>
      </c>
      <c r="F28" s="107">
        <f>Outputs!F62</f>
        <v>26518.707744874962</v>
      </c>
      <c r="G28" s="107">
        <f>Outputs!G62</f>
        <v>31167.321710421689</v>
      </c>
      <c r="H28" s="107">
        <f>Outputs!H62</f>
        <v>36236.056553341361</v>
      </c>
      <c r="I28" s="107">
        <f>Outputs!I62</f>
        <v>-8241.4119079039083</v>
      </c>
      <c r="J28" s="107">
        <f>Outputs!J62</f>
        <v>47771.200966344972</v>
      </c>
      <c r="K28" s="107">
        <f>Outputs!K62</f>
        <v>54312.98858556099</v>
      </c>
      <c r="L28" s="107">
        <f>Outputs!L62</f>
        <v>61426.06834938057</v>
      </c>
      <c r="M28" s="107">
        <f>Outputs!M62</f>
        <v>69155.813304795622</v>
      </c>
      <c r="N28" s="307">
        <f>Outputs!N62</f>
        <v>77551.101494155504</v>
      </c>
      <c r="O28" s="129"/>
      <c r="P28" s="129"/>
      <c r="Q28" s="129"/>
      <c r="R28" s="129"/>
      <c r="S28" s="129"/>
      <c r="T28" s="129"/>
      <c r="U28" s="129"/>
      <c r="V28" s="129"/>
      <c r="W28" s="129"/>
      <c r="X28" s="129"/>
      <c r="Y28" s="129"/>
    </row>
    <row r="29" spans="1:25" ht="26.25" customHeight="1" thickBot="1" x14ac:dyDescent="0.45">
      <c r="A29" s="165" t="s">
        <v>177</v>
      </c>
      <c r="B29" s="174">
        <f>Outputs!B42</f>
        <v>520000</v>
      </c>
      <c r="C29" s="174">
        <f>Outputs!C42</f>
        <v>260000</v>
      </c>
      <c r="D29" s="174">
        <f>Outputs!D42</f>
        <v>260000</v>
      </c>
      <c r="E29" s="174">
        <f>Outputs!E42</f>
        <v>0</v>
      </c>
      <c r="F29" s="174">
        <f>Outputs!F42</f>
        <v>0</v>
      </c>
      <c r="G29" s="174">
        <f>Outputs!G42</f>
        <v>0</v>
      </c>
      <c r="H29" s="174">
        <f>Outputs!H42</f>
        <v>0</v>
      </c>
      <c r="I29" s="174">
        <f>Outputs!I42</f>
        <v>6593.1295263231268</v>
      </c>
      <c r="J29" s="174">
        <f>Outputs!J42</f>
        <v>0</v>
      </c>
      <c r="K29" s="174">
        <f>Outputs!K42</f>
        <v>0</v>
      </c>
      <c r="L29" s="174">
        <f>Outputs!L42</f>
        <v>0</v>
      </c>
      <c r="M29" s="174">
        <f>Outputs!M42</f>
        <v>0</v>
      </c>
      <c r="N29" s="319">
        <f>Outputs!N42</f>
        <v>0</v>
      </c>
      <c r="O29" s="129"/>
      <c r="P29" s="129"/>
      <c r="Q29" s="129"/>
      <c r="R29" s="129"/>
      <c r="S29" s="129"/>
      <c r="T29" s="129"/>
      <c r="U29" s="129"/>
      <c r="V29" s="129"/>
      <c r="W29" s="129"/>
      <c r="X29" s="129"/>
      <c r="Y29" s="129"/>
    </row>
    <row r="30" spans="1:25" x14ac:dyDescent="0.4">
      <c r="A30" s="163" t="s">
        <v>44</v>
      </c>
      <c r="B30" s="164">
        <f>-B27+B29</f>
        <v>-130000</v>
      </c>
      <c r="C30" s="164">
        <f t="shared" ref="C30" si="3">-C27+C29</f>
        <v>-65000</v>
      </c>
      <c r="D30" s="164">
        <f t="shared" ref="D30" si="4">-D27+D29</f>
        <v>-65000</v>
      </c>
      <c r="E30" s="164">
        <f>E28+E29</f>
        <v>22258.961899999995</v>
      </c>
      <c r="F30" s="164">
        <f t="shared" ref="F30:N30" si="5">F28+F29</f>
        <v>26518.707744874962</v>
      </c>
      <c r="G30" s="164">
        <f t="shared" si="5"/>
        <v>31167.321710421689</v>
      </c>
      <c r="H30" s="164">
        <f t="shared" si="5"/>
        <v>36236.056553341361</v>
      </c>
      <c r="I30" s="164">
        <f t="shared" si="5"/>
        <v>-1648.2823815807815</v>
      </c>
      <c r="J30" s="164">
        <f t="shared" si="5"/>
        <v>47771.200966344972</v>
      </c>
      <c r="K30" s="164">
        <f t="shared" si="5"/>
        <v>54312.98858556099</v>
      </c>
      <c r="L30" s="164">
        <f t="shared" si="5"/>
        <v>61426.06834938057</v>
      </c>
      <c r="M30" s="164">
        <f t="shared" si="5"/>
        <v>69155.813304795622</v>
      </c>
      <c r="N30" s="314">
        <f t="shared" si="5"/>
        <v>77551.101494155504</v>
      </c>
      <c r="O30" s="129"/>
      <c r="P30" s="129"/>
      <c r="Q30" s="129"/>
      <c r="R30" s="129"/>
      <c r="S30" s="129"/>
      <c r="T30" s="129"/>
      <c r="U30" s="129"/>
      <c r="V30" s="129"/>
      <c r="W30" s="129"/>
      <c r="X30" s="129"/>
      <c r="Y30" s="129"/>
    </row>
    <row r="31" spans="1:25" ht="23.4" thickBot="1" x14ac:dyDescent="0.45">
      <c r="A31" s="165" t="s">
        <v>77</v>
      </c>
      <c r="B31" s="166">
        <f>1/((1+'Inputs - Constant'!$B$66)^(B25))</f>
        <v>1</v>
      </c>
      <c r="C31" s="166">
        <f>1/((1+'Inputs - Constant'!$B$66)^(C25))</f>
        <v>0.90909090909090906</v>
      </c>
      <c r="D31" s="166">
        <f>1/((1+'Inputs - Constant'!$B$66)^(D25))</f>
        <v>0.82644628099173545</v>
      </c>
      <c r="E31" s="166">
        <f>IF('Inputs - Constant'!E90="Yes",1/((1+'Inputs - Constant'!$B$66)^(E25)),0)</f>
        <v>0.75131480090157754</v>
      </c>
      <c r="F31" s="166">
        <f>IF('Inputs - Constant'!F90="Yes",1/((1+'Inputs - Constant'!$B$66)^(F25)),0)</f>
        <v>0.68301345536507052</v>
      </c>
      <c r="G31" s="166">
        <f>IF('Inputs - Constant'!G90="Yes",1/((1+'Inputs - Constant'!$B$66)^(G25)),0)</f>
        <v>0.62092132305915493</v>
      </c>
      <c r="H31" s="166">
        <f>IF('Inputs - Constant'!H90="Yes",1/((1+'Inputs - Constant'!$B$66)^(H25)),0)</f>
        <v>0.56447393005377722</v>
      </c>
      <c r="I31" s="166">
        <f>IF('Inputs - Constant'!I90="Yes",1/((1+'Inputs - Constant'!$B$66)^(I25)),0)</f>
        <v>0.51315811823070645</v>
      </c>
      <c r="J31" s="166">
        <f>IF('Inputs - Constant'!J90="Yes",1/((1+'Inputs - Constant'!$B$66)^(J25)),0)</f>
        <v>0.46650738020973315</v>
      </c>
      <c r="K31" s="166">
        <f>IF('Inputs - Constant'!K90="Yes",1/((1+'Inputs - Constant'!$B$66)^(K25)),0)</f>
        <v>0.42409761837248466</v>
      </c>
      <c r="L31" s="166">
        <f>IF('Inputs - Constant'!L90="Yes",1/((1+'Inputs - Constant'!$B$66)^(L25)),0)</f>
        <v>0.38554328942953148</v>
      </c>
      <c r="M31" s="166">
        <f>IF('Inputs - Constant'!M90="Yes",1/((1+'Inputs - Constant'!$B$66)^(M25)),0)</f>
        <v>0.3504938994813922</v>
      </c>
      <c r="N31" s="315">
        <f>IF('Inputs - Constant'!N90="Yes",1/((1+'Inputs - Constant'!$B$66)^(N25)),0)</f>
        <v>0.31863081771035656</v>
      </c>
      <c r="O31" s="129"/>
      <c r="P31" s="129"/>
      <c r="Q31" s="129"/>
      <c r="R31" s="129"/>
      <c r="S31" s="129"/>
      <c r="T31" s="129"/>
      <c r="U31" s="129"/>
      <c r="V31" s="129"/>
      <c r="W31" s="129"/>
      <c r="X31" s="129"/>
      <c r="Y31" s="129"/>
    </row>
    <row r="32" spans="1:25" x14ac:dyDescent="0.4">
      <c r="A32" s="163" t="s">
        <v>58</v>
      </c>
      <c r="B32" s="167">
        <f t="shared" ref="B32:N32" si="6">B30*B31</f>
        <v>-130000</v>
      </c>
      <c r="C32" s="167">
        <f t="shared" si="6"/>
        <v>-59090.909090909088</v>
      </c>
      <c r="D32" s="167">
        <f t="shared" si="6"/>
        <v>-53719.008264462806</v>
      </c>
      <c r="E32" s="167">
        <f t="shared" si="6"/>
        <v>16723.487528174297</v>
      </c>
      <c r="F32" s="167">
        <f t="shared" si="6"/>
        <v>18112.634208643503</v>
      </c>
      <c r="G32" s="167">
        <f t="shared" si="6"/>
        <v>19352.45463264536</v>
      </c>
      <c r="H32" s="167">
        <f t="shared" si="6"/>
        <v>20454.309252315528</v>
      </c>
      <c r="I32" s="167">
        <f t="shared" si="6"/>
        <v>-845.82948524482106</v>
      </c>
      <c r="J32" s="167">
        <f t="shared" si="6"/>
        <v>22285.617812282264</v>
      </c>
      <c r="K32" s="167">
        <f t="shared" si="6"/>
        <v>23034.009105828361</v>
      </c>
      <c r="L32" s="167">
        <f t="shared" si="6"/>
        <v>23682.408448143415</v>
      </c>
      <c r="M32" s="167">
        <f t="shared" si="6"/>
        <v>24238.690677004961</v>
      </c>
      <c r="N32" s="316">
        <f t="shared" si="6"/>
        <v>24710.170883421622</v>
      </c>
      <c r="O32" s="129"/>
      <c r="P32" s="129"/>
      <c r="Q32" s="129"/>
      <c r="R32" s="129"/>
      <c r="S32" s="129"/>
      <c r="T32" s="129"/>
      <c r="U32" s="129"/>
      <c r="V32" s="129"/>
      <c r="W32" s="129"/>
      <c r="X32" s="129"/>
      <c r="Y32" s="129"/>
    </row>
    <row r="33" spans="1:25" x14ac:dyDescent="0.4">
      <c r="A33" s="317" t="s">
        <v>45</v>
      </c>
      <c r="B33" s="118">
        <f>B32</f>
        <v>-130000</v>
      </c>
      <c r="C33" s="118">
        <f>B33+C32</f>
        <v>-189090.90909090909</v>
      </c>
      <c r="D33" s="118">
        <f t="shared" ref="D33" si="7">C33+D32</f>
        <v>-242809.9173553719</v>
      </c>
      <c r="E33" s="118">
        <f>IF('Inputs - Constant'!E90="Yes",D33+E32,0)</f>
        <v>-226086.4298271976</v>
      </c>
      <c r="F33" s="118">
        <f>IF('Inputs - Constant'!F90="Yes",E33+F32,0)</f>
        <v>-207973.79561855411</v>
      </c>
      <c r="G33" s="118">
        <f>IF('Inputs - Constant'!G90="Yes",F33+G32,0)</f>
        <v>-188621.34098590876</v>
      </c>
      <c r="H33" s="118">
        <f>IF('Inputs - Constant'!H90="Yes",G33+H32,0)</f>
        <v>-168167.03173359323</v>
      </c>
      <c r="I33" s="118">
        <f>IF('Inputs - Constant'!I90="Yes",H33+I32,0)</f>
        <v>-169012.86121883805</v>
      </c>
      <c r="J33" s="118">
        <f>IF('Inputs - Constant'!J90="Yes",I33+J32,0)</f>
        <v>-146727.24340655579</v>
      </c>
      <c r="K33" s="118">
        <f>IF('Inputs - Constant'!K90="Yes",J33+K32,0)</f>
        <v>-123693.23430072743</v>
      </c>
      <c r="L33" s="118">
        <f>IF('Inputs - Constant'!L90="Yes",K33+L32,0)</f>
        <v>-100010.82585258402</v>
      </c>
      <c r="M33" s="118">
        <f>IF('Inputs - Constant'!M90="Yes",L33+M32,0)</f>
        <v>-75772.135175579053</v>
      </c>
      <c r="N33" s="293">
        <f>IF('Inputs - Constant'!N90="Yes",M33+N32,0)</f>
        <v>-51061.964292157427</v>
      </c>
      <c r="O33" s="129"/>
      <c r="P33" s="129"/>
      <c r="Q33" s="129"/>
      <c r="R33" s="129"/>
      <c r="S33" s="129"/>
      <c r="T33" s="129"/>
      <c r="U33" s="129"/>
      <c r="V33" s="129"/>
      <c r="W33" s="129"/>
      <c r="X33" s="129"/>
      <c r="Y33" s="129"/>
    </row>
    <row r="34" spans="1:25" x14ac:dyDescent="0.4">
      <c r="A34" s="1" t="s">
        <v>342</v>
      </c>
    </row>
    <row r="35" spans="1:25" ht="24.6" x14ac:dyDescent="0.4">
      <c r="A35" s="134" t="s">
        <v>56</v>
      </c>
      <c r="B35" s="134" t="s">
        <v>147</v>
      </c>
      <c r="D35" s="1"/>
      <c r="E35" s="1"/>
      <c r="L35" s="169"/>
    </row>
    <row r="36" spans="1:25" x14ac:dyDescent="0.4">
      <c r="A36" s="145" t="s">
        <v>46</v>
      </c>
      <c r="B36" s="109">
        <f>SUM(B32:N32)</f>
        <v>-51061.964292157427</v>
      </c>
      <c r="C36" s="170" t="s">
        <v>88</v>
      </c>
      <c r="D36" s="171"/>
      <c r="E36" s="1"/>
    </row>
    <row r="37" spans="1:25" ht="49.5" customHeight="1" x14ac:dyDescent="0.4">
      <c r="A37" s="145" t="s">
        <v>47</v>
      </c>
      <c r="B37" s="172">
        <f>IFERROR(IRR(B30:N30),"")</f>
        <v>6.5365809664466701E-2</v>
      </c>
      <c r="C37" s="158" t="s">
        <v>237</v>
      </c>
      <c r="D37" s="1"/>
      <c r="E37" s="1"/>
      <c r="K37" s="175"/>
    </row>
    <row r="38" spans="1:25" ht="66.599999999999994" customHeight="1" x14ac:dyDescent="0.4">
      <c r="A38" s="145" t="s">
        <v>265</v>
      </c>
      <c r="B38" s="226" t="str" cm="1">
        <f t="array" aca="1" ref="B38" ca="1">IFERROR((MATCH(TRUE,INDEX(B33:N33&gt;=-0.0001,0),0)-2)+((-INDEX(B33:N33,MATCH(TRUE,INDEX(B33:N33&gt;=-0.0001,0),0)-1))/(OFFSET(INDEX(B33:N33, MATCH(TRUE, INDEX(B33:N33&gt;=-0.0001, 0), 0)), -1, 0))),"N/A")</f>
        <v>N/A</v>
      </c>
      <c r="C38" s="342" t="s">
        <v>266</v>
      </c>
      <c r="D38" s="343"/>
      <c r="E38" s="343"/>
      <c r="F38" s="343"/>
      <c r="G38" s="343"/>
      <c r="H38" s="343"/>
      <c r="I38" s="343"/>
      <c r="J38" s="343"/>
      <c r="K38" s="187"/>
      <c r="L38" s="173"/>
    </row>
    <row r="39" spans="1:25" x14ac:dyDescent="0.4">
      <c r="A39" s="309" t="s">
        <v>229</v>
      </c>
      <c r="B39" s="287">
        <f>Outputs!B45</f>
        <v>974622.98736246687</v>
      </c>
      <c r="K39" s="176"/>
      <c r="L39" s="173"/>
    </row>
    <row r="40" spans="1:25" x14ac:dyDescent="0.4">
      <c r="A40" s="1" t="s">
        <v>342</v>
      </c>
      <c r="B40" s="177"/>
    </row>
    <row r="41" spans="1:25" ht="49.2" x14ac:dyDescent="0.4">
      <c r="A41" s="105" t="s">
        <v>194</v>
      </c>
      <c r="B41" s="134" t="s">
        <v>147</v>
      </c>
      <c r="F41" s="143"/>
      <c r="H41" s="176"/>
      <c r="K41" s="176"/>
    </row>
    <row r="42" spans="1:25" ht="45.6" x14ac:dyDescent="0.4">
      <c r="A42" s="145" t="s">
        <v>257</v>
      </c>
      <c r="B42" s="178">
        <f>IF(B39&gt;B36,-B36,-B39)</f>
        <v>51061.964292157427</v>
      </c>
      <c r="C42" s="158"/>
    </row>
    <row r="43" spans="1:25" x14ac:dyDescent="0.4">
      <c r="A43" s="179" t="s">
        <v>230</v>
      </c>
      <c r="B43" s="178">
        <f>B39+B42</f>
        <v>1025684.9516546243</v>
      </c>
      <c r="K43" s="176"/>
    </row>
    <row r="44" spans="1:25" x14ac:dyDescent="0.4">
      <c r="A44" s="309" t="s">
        <v>191</v>
      </c>
      <c r="B44" s="320">
        <f>IRR(B48:N48)</f>
        <v>0.10000000000000009</v>
      </c>
    </row>
    <row r="45" spans="1:25" x14ac:dyDescent="0.4">
      <c r="A45" s="1" t="s">
        <v>342</v>
      </c>
    </row>
    <row r="47" spans="1:25" ht="114.6" customHeight="1" x14ac:dyDescent="0.4">
      <c r="A47" s="105" t="s">
        <v>192</v>
      </c>
      <c r="B47" s="340" t="s">
        <v>320</v>
      </c>
      <c r="C47" s="340" t="s">
        <v>321</v>
      </c>
      <c r="D47" s="340" t="s">
        <v>322</v>
      </c>
      <c r="E47" s="341" t="s">
        <v>323</v>
      </c>
      <c r="F47" s="341" t="s">
        <v>324</v>
      </c>
      <c r="G47" s="341" t="s">
        <v>325</v>
      </c>
      <c r="H47" s="341" t="s">
        <v>333</v>
      </c>
      <c r="I47" s="341" t="s">
        <v>327</v>
      </c>
      <c r="J47" s="341" t="s">
        <v>328</v>
      </c>
      <c r="K47" s="341" t="s">
        <v>329</v>
      </c>
      <c r="L47" s="341" t="s">
        <v>330</v>
      </c>
      <c r="M47" s="341" t="s">
        <v>331</v>
      </c>
      <c r="N47" s="341" t="s">
        <v>332</v>
      </c>
    </row>
    <row r="48" spans="1:25" x14ac:dyDescent="0.4">
      <c r="A48" s="145" t="s">
        <v>193</v>
      </c>
      <c r="B48" s="107">
        <f>B30+B42</f>
        <v>-78938.035707842573</v>
      </c>
      <c r="C48" s="107">
        <f t="shared" ref="C48:N48" si="8">C30</f>
        <v>-65000</v>
      </c>
      <c r="D48" s="107">
        <f t="shared" si="8"/>
        <v>-65000</v>
      </c>
      <c r="E48" s="107">
        <f t="shared" si="8"/>
        <v>22258.961899999995</v>
      </c>
      <c r="F48" s="107">
        <f t="shared" si="8"/>
        <v>26518.707744874962</v>
      </c>
      <c r="G48" s="107">
        <f t="shared" si="8"/>
        <v>31167.321710421689</v>
      </c>
      <c r="H48" s="107">
        <f t="shared" si="8"/>
        <v>36236.056553341361</v>
      </c>
      <c r="I48" s="107">
        <f t="shared" si="8"/>
        <v>-1648.2823815807815</v>
      </c>
      <c r="J48" s="107">
        <f t="shared" si="8"/>
        <v>47771.200966344972</v>
      </c>
      <c r="K48" s="107">
        <f t="shared" si="8"/>
        <v>54312.98858556099</v>
      </c>
      <c r="L48" s="107">
        <f t="shared" si="8"/>
        <v>61426.06834938057</v>
      </c>
      <c r="M48" s="107">
        <f t="shared" si="8"/>
        <v>69155.813304795622</v>
      </c>
      <c r="N48" s="307">
        <f t="shared" si="8"/>
        <v>77551.101494155504</v>
      </c>
    </row>
    <row r="49" spans="1:23" x14ac:dyDescent="0.4">
      <c r="A49" s="179" t="s">
        <v>58</v>
      </c>
      <c r="B49" s="107">
        <f t="shared" ref="B49:N49" si="9">B48*B31</f>
        <v>-78938.035707842573</v>
      </c>
      <c r="C49" s="107">
        <f t="shared" si="9"/>
        <v>-59090.909090909088</v>
      </c>
      <c r="D49" s="107">
        <f t="shared" si="9"/>
        <v>-53719.008264462806</v>
      </c>
      <c r="E49" s="107">
        <f t="shared" si="9"/>
        <v>16723.487528174297</v>
      </c>
      <c r="F49" s="107">
        <f t="shared" si="9"/>
        <v>18112.634208643503</v>
      </c>
      <c r="G49" s="107">
        <f t="shared" si="9"/>
        <v>19352.45463264536</v>
      </c>
      <c r="H49" s="107">
        <f t="shared" si="9"/>
        <v>20454.309252315528</v>
      </c>
      <c r="I49" s="107">
        <f t="shared" si="9"/>
        <v>-845.82948524482106</v>
      </c>
      <c r="J49" s="107">
        <f t="shared" si="9"/>
        <v>22285.617812282264</v>
      </c>
      <c r="K49" s="107">
        <f t="shared" si="9"/>
        <v>23034.009105828361</v>
      </c>
      <c r="L49" s="107">
        <f t="shared" si="9"/>
        <v>23682.408448143415</v>
      </c>
      <c r="M49" s="107">
        <f t="shared" si="9"/>
        <v>24238.690677004961</v>
      </c>
      <c r="N49" s="307">
        <f t="shared" si="9"/>
        <v>24710.170883421622</v>
      </c>
    </row>
    <row r="50" spans="1:23" x14ac:dyDescent="0.4">
      <c r="A50" s="317" t="s">
        <v>45</v>
      </c>
      <c r="B50" s="161">
        <f>B49</f>
        <v>-78938.035707842573</v>
      </c>
      <c r="C50" s="161">
        <f>B50+C49</f>
        <v>-138028.94479875168</v>
      </c>
      <c r="D50" s="161">
        <f t="shared" ref="D50:N50" si="10">C50+D49</f>
        <v>-191747.95306321449</v>
      </c>
      <c r="E50" s="161">
        <f t="shared" si="10"/>
        <v>-175024.46553504019</v>
      </c>
      <c r="F50" s="161">
        <f t="shared" si="10"/>
        <v>-156911.83132639667</v>
      </c>
      <c r="G50" s="161">
        <f t="shared" si="10"/>
        <v>-137559.37669375131</v>
      </c>
      <c r="H50" s="161">
        <f t="shared" si="10"/>
        <v>-117105.06744143579</v>
      </c>
      <c r="I50" s="161">
        <f t="shared" si="10"/>
        <v>-117950.89692668061</v>
      </c>
      <c r="J50" s="161">
        <f t="shared" si="10"/>
        <v>-95665.279114398349</v>
      </c>
      <c r="K50" s="161">
        <f t="shared" si="10"/>
        <v>-72631.270008569991</v>
      </c>
      <c r="L50" s="161">
        <f t="shared" si="10"/>
        <v>-48948.86156042658</v>
      </c>
      <c r="M50" s="161">
        <f t="shared" si="10"/>
        <v>-24710.170883421619</v>
      </c>
      <c r="N50" s="312">
        <f t="shared" si="10"/>
        <v>0</v>
      </c>
    </row>
    <row r="51" spans="1:23" x14ac:dyDescent="0.4">
      <c r="A51" s="1" t="s">
        <v>342</v>
      </c>
    </row>
    <row r="52" spans="1:23" s="70" customFormat="1" ht="30" x14ac:dyDescent="0.5">
      <c r="A52" s="180" t="s">
        <v>198</v>
      </c>
      <c r="B52" s="69"/>
      <c r="C52" s="69"/>
      <c r="D52" s="69"/>
      <c r="E52" s="69"/>
      <c r="F52" s="69"/>
      <c r="G52" s="69"/>
      <c r="H52" s="69"/>
      <c r="I52" s="69"/>
      <c r="J52" s="69"/>
      <c r="K52" s="69"/>
      <c r="L52" s="69"/>
      <c r="M52" s="69"/>
      <c r="N52" s="69"/>
      <c r="O52" s="69"/>
      <c r="P52" s="69"/>
      <c r="Q52" s="69"/>
      <c r="R52" s="69"/>
      <c r="S52" s="69"/>
      <c r="T52" s="69"/>
      <c r="U52" s="69"/>
      <c r="V52" s="69"/>
      <c r="W52" s="69"/>
    </row>
    <row r="53" spans="1:23" hidden="1" x14ac:dyDescent="0.4">
      <c r="A53" s="40"/>
      <c r="B53" s="158">
        <v>0</v>
      </c>
      <c r="C53" s="158">
        <v>1</v>
      </c>
      <c r="D53" s="158">
        <v>2</v>
      </c>
      <c r="E53" s="158">
        <v>3</v>
      </c>
      <c r="F53" s="158">
        <v>4</v>
      </c>
      <c r="G53" s="158">
        <v>5</v>
      </c>
      <c r="H53" s="158">
        <v>6</v>
      </c>
      <c r="I53" s="158">
        <v>7</v>
      </c>
      <c r="J53" s="158">
        <v>8</v>
      </c>
      <c r="K53" s="158">
        <v>9</v>
      </c>
      <c r="L53" s="158">
        <v>10</v>
      </c>
      <c r="M53" s="158">
        <v>11</v>
      </c>
      <c r="N53" s="158">
        <v>12</v>
      </c>
    </row>
    <row r="54" spans="1:23" ht="106.2" customHeight="1" x14ac:dyDescent="0.4">
      <c r="A54" s="105" t="s">
        <v>199</v>
      </c>
      <c r="B54" s="340" t="s">
        <v>320</v>
      </c>
      <c r="C54" s="340" t="s">
        <v>321</v>
      </c>
      <c r="D54" s="340" t="s">
        <v>322</v>
      </c>
      <c r="E54" s="341" t="s">
        <v>323</v>
      </c>
      <c r="F54" s="341" t="s">
        <v>324</v>
      </c>
      <c r="G54" s="341" t="s">
        <v>325</v>
      </c>
      <c r="H54" s="341" t="s">
        <v>333</v>
      </c>
      <c r="I54" s="341" t="s">
        <v>327</v>
      </c>
      <c r="J54" s="341" t="s">
        <v>328</v>
      </c>
      <c r="K54" s="341" t="s">
        <v>329</v>
      </c>
      <c r="L54" s="341" t="s">
        <v>330</v>
      </c>
      <c r="M54" s="341" t="s">
        <v>331</v>
      </c>
      <c r="N54" s="341" t="s">
        <v>332</v>
      </c>
    </row>
    <row r="55" spans="1:23" x14ac:dyDescent="0.4">
      <c r="A55" s="160" t="s">
        <v>137</v>
      </c>
      <c r="B55" s="161">
        <f>Outputs!B9</f>
        <v>650000</v>
      </c>
      <c r="C55" s="161">
        <f>Outputs!C9</f>
        <v>325000</v>
      </c>
      <c r="D55" s="161">
        <f>Outputs!D9</f>
        <v>325000</v>
      </c>
      <c r="E55" s="268" t="s">
        <v>300</v>
      </c>
      <c r="F55" s="268" t="s">
        <v>300</v>
      </c>
      <c r="G55" s="268" t="s">
        <v>300</v>
      </c>
      <c r="H55" s="268" t="s">
        <v>300</v>
      </c>
      <c r="I55" s="268" t="s">
        <v>300</v>
      </c>
      <c r="J55" s="268" t="s">
        <v>300</v>
      </c>
      <c r="K55" s="268" t="s">
        <v>300</v>
      </c>
      <c r="L55" s="268"/>
      <c r="M55" s="268" t="s">
        <v>300</v>
      </c>
      <c r="N55" s="284" t="s">
        <v>300</v>
      </c>
    </row>
    <row r="56" spans="1:23" x14ac:dyDescent="0.4">
      <c r="A56" s="160" t="s">
        <v>87</v>
      </c>
      <c r="B56" s="268" t="s">
        <v>300</v>
      </c>
      <c r="C56" s="268" t="s">
        <v>300</v>
      </c>
      <c r="D56" s="268" t="s">
        <v>300</v>
      </c>
      <c r="E56" s="161">
        <f>Outputs!E57</f>
        <v>122258.96189999999</v>
      </c>
      <c r="F56" s="161">
        <f>Outputs!F57</f>
        <v>131581.20774487496</v>
      </c>
      <c r="G56" s="161">
        <f>Outputs!G57</f>
        <v>141614.27483542167</v>
      </c>
      <c r="H56" s="161">
        <f>Outputs!H57</f>
        <v>152412.36329162258</v>
      </c>
      <c r="I56" s="161">
        <f>Outputs!I57</f>
        <v>164033.80599260874</v>
      </c>
      <c r="J56" s="161">
        <f>Outputs!J57</f>
        <v>176541.38369954514</v>
      </c>
      <c r="K56" s="161">
        <f>Outputs!K57</f>
        <v>190002.66420663544</v>
      </c>
      <c r="L56" s="161">
        <f>Outputs!L57</f>
        <v>204490.36735239139</v>
      </c>
      <c r="M56" s="161">
        <f>Outputs!M57</f>
        <v>220082.75786301124</v>
      </c>
      <c r="N56" s="312">
        <f>Outputs!N57</f>
        <v>236864.06815006587</v>
      </c>
    </row>
    <row r="57" spans="1:23" ht="45.6" x14ac:dyDescent="0.4">
      <c r="A57" s="168" t="s">
        <v>319</v>
      </c>
      <c r="B57" s="268" t="s">
        <v>300</v>
      </c>
      <c r="C57" s="268" t="s">
        <v>300</v>
      </c>
      <c r="D57" s="268" t="s">
        <v>300</v>
      </c>
      <c r="E57" s="107">
        <f>Outputs!E12</f>
        <v>100000</v>
      </c>
      <c r="F57" s="107">
        <f>Outputs!F12</f>
        <v>105062.5</v>
      </c>
      <c r="G57" s="107">
        <f>Outputs!G12</f>
        <v>110446.95312499999</v>
      </c>
      <c r="H57" s="107">
        <f>Outputs!H12</f>
        <v>116176.30673828122</v>
      </c>
      <c r="I57" s="107">
        <f>Outputs!I12</f>
        <v>172275.21790051265</v>
      </c>
      <c r="J57" s="107">
        <f>Outputs!J12</f>
        <v>128770.18273320017</v>
      </c>
      <c r="K57" s="107">
        <f>Outputs!K12</f>
        <v>135689.67562107445</v>
      </c>
      <c r="L57" s="107">
        <f>Outputs!L12</f>
        <v>143064.29900301082</v>
      </c>
      <c r="M57" s="107">
        <f>Outputs!M12</f>
        <v>150926.94455821562</v>
      </c>
      <c r="N57" s="307">
        <f>Outputs!N12</f>
        <v>159312.96665591036</v>
      </c>
    </row>
    <row r="58" spans="1:23" ht="23.4" thickBot="1" x14ac:dyDescent="0.45">
      <c r="A58" s="122" t="s">
        <v>43</v>
      </c>
      <c r="B58" s="282" t="s">
        <v>300</v>
      </c>
      <c r="C58" s="282" t="s">
        <v>300</v>
      </c>
      <c r="D58" s="282" t="s">
        <v>300</v>
      </c>
      <c r="E58" s="162">
        <f>Outputs!E73</f>
        <v>0</v>
      </c>
      <c r="F58" s="162">
        <f>Outputs!F73</f>
        <v>0</v>
      </c>
      <c r="G58" s="162">
        <f>Outputs!G73</f>
        <v>0</v>
      </c>
      <c r="H58" s="162">
        <f>Outputs!H73</f>
        <v>0</v>
      </c>
      <c r="I58" s="162">
        <f>Outputs!I73</f>
        <v>0</v>
      </c>
      <c r="J58" s="162">
        <f>Outputs!J73</f>
        <v>0</v>
      </c>
      <c r="K58" s="162">
        <f>Outputs!K73</f>
        <v>0</v>
      </c>
      <c r="L58" s="162">
        <f>Outputs!L73</f>
        <v>0</v>
      </c>
      <c r="M58" s="162">
        <f>Outputs!M73</f>
        <v>0</v>
      </c>
      <c r="N58" s="313">
        <f>Outputs!N73</f>
        <v>0</v>
      </c>
    </row>
    <row r="59" spans="1:23" x14ac:dyDescent="0.4">
      <c r="A59" s="163" t="s">
        <v>44</v>
      </c>
      <c r="B59" s="164">
        <f>-B55</f>
        <v>-650000</v>
      </c>
      <c r="C59" s="164">
        <f>-C55</f>
        <v>-325000</v>
      </c>
      <c r="D59" s="164">
        <f>-D55</f>
        <v>-325000</v>
      </c>
      <c r="E59" s="164">
        <f>E56-E57+E58</f>
        <v>22258.961899999995</v>
      </c>
      <c r="F59" s="164">
        <f t="shared" ref="F59:N59" si="11">F56-F57+F58</f>
        <v>26518.707744874962</v>
      </c>
      <c r="G59" s="164">
        <f t="shared" si="11"/>
        <v>31167.321710421689</v>
      </c>
      <c r="H59" s="164">
        <f t="shared" si="11"/>
        <v>36236.056553341361</v>
      </c>
      <c r="I59" s="164">
        <f t="shared" si="11"/>
        <v>-8241.4119079039083</v>
      </c>
      <c r="J59" s="164">
        <f t="shared" si="11"/>
        <v>47771.200966344972</v>
      </c>
      <c r="K59" s="164">
        <f t="shared" si="11"/>
        <v>54312.98858556099</v>
      </c>
      <c r="L59" s="164">
        <f t="shared" si="11"/>
        <v>61426.06834938057</v>
      </c>
      <c r="M59" s="164">
        <f t="shared" si="11"/>
        <v>69155.813304795622</v>
      </c>
      <c r="N59" s="314">
        <f t="shared" si="11"/>
        <v>77551.101494155504</v>
      </c>
    </row>
    <row r="60" spans="1:23" ht="23.4" thickBot="1" x14ac:dyDescent="0.45">
      <c r="A60" s="165" t="s">
        <v>77</v>
      </c>
      <c r="B60" s="166">
        <f>1/((1+'Inputs - Constant'!$B$66)^(B53))</f>
        <v>1</v>
      </c>
      <c r="C60" s="166">
        <f>1/((1+'Inputs - Constant'!$B$66)^(C53))</f>
        <v>0.90909090909090906</v>
      </c>
      <c r="D60" s="166">
        <f>1/((1+'Inputs - Constant'!$B$66)^(D53))</f>
        <v>0.82644628099173545</v>
      </c>
      <c r="E60" s="166">
        <f>IF('Inputs - Constant'!E90="Yes",1/((1+'Inputs - Constant'!$B$66)^(E53)),0)</f>
        <v>0.75131480090157754</v>
      </c>
      <c r="F60" s="166">
        <f>IF('Inputs - Constant'!F90="Yes",1/((1+'Inputs - Constant'!$B$66)^(F53)),0)</f>
        <v>0.68301345536507052</v>
      </c>
      <c r="G60" s="166">
        <f>IF('Inputs - Constant'!G90="Yes",1/((1+'Inputs - Constant'!$B$66)^(G53)),0)</f>
        <v>0.62092132305915493</v>
      </c>
      <c r="H60" s="166">
        <f>IF('Inputs - Constant'!H90="Yes",1/((1+'Inputs - Constant'!$B$66)^(H53)),0)</f>
        <v>0.56447393005377722</v>
      </c>
      <c r="I60" s="166">
        <f>IF('Inputs - Constant'!I90="Yes",1/((1+'Inputs - Constant'!$B$66)^(I53)),0)</f>
        <v>0.51315811823070645</v>
      </c>
      <c r="J60" s="166">
        <f>IF('Inputs - Constant'!J90="Yes",1/((1+'Inputs - Constant'!$B$66)^(J53)),0)</f>
        <v>0.46650738020973315</v>
      </c>
      <c r="K60" s="166">
        <f>IF('Inputs - Constant'!K90="Yes",1/((1+'Inputs - Constant'!$B$66)^(K53)),0)</f>
        <v>0.42409761837248466</v>
      </c>
      <c r="L60" s="166">
        <f>IF('Inputs - Constant'!L90="Yes",1/((1+'Inputs - Constant'!$B$66)^(L53)),0)</f>
        <v>0.38554328942953148</v>
      </c>
      <c r="M60" s="166">
        <f>IF('Inputs - Constant'!M90="Yes",1/((1+'Inputs - Constant'!$B$66)^(M53)),0)</f>
        <v>0.3504938994813922</v>
      </c>
      <c r="N60" s="315">
        <f>IF('Inputs - Constant'!N90="Yes",1/((1+'Inputs - Constant'!$B$66)^(N53)),0)</f>
        <v>0.31863081771035656</v>
      </c>
    </row>
    <row r="61" spans="1:23" x14ac:dyDescent="0.4">
      <c r="A61" s="163" t="s">
        <v>58</v>
      </c>
      <c r="B61" s="167">
        <f>B59*B60</f>
        <v>-650000</v>
      </c>
      <c r="C61" s="167">
        <f t="shared" ref="C61:N61" si="12">C59*C60</f>
        <v>-295454.54545454547</v>
      </c>
      <c r="D61" s="167">
        <f t="shared" si="12"/>
        <v>-268595.04132231401</v>
      </c>
      <c r="E61" s="167">
        <f>E59*E60</f>
        <v>16723.487528174297</v>
      </c>
      <c r="F61" s="167">
        <f t="shared" si="12"/>
        <v>18112.634208643503</v>
      </c>
      <c r="G61" s="167">
        <f t="shared" si="12"/>
        <v>19352.45463264536</v>
      </c>
      <c r="H61" s="167">
        <f t="shared" si="12"/>
        <v>20454.309252315528</v>
      </c>
      <c r="I61" s="167">
        <f t="shared" si="12"/>
        <v>-4229.1474262241054</v>
      </c>
      <c r="J61" s="167">
        <f t="shared" si="12"/>
        <v>22285.617812282264</v>
      </c>
      <c r="K61" s="167">
        <f t="shared" si="12"/>
        <v>23034.009105828361</v>
      </c>
      <c r="L61" s="167">
        <f t="shared" si="12"/>
        <v>23682.408448143415</v>
      </c>
      <c r="M61" s="167">
        <f t="shared" si="12"/>
        <v>24238.690677004961</v>
      </c>
      <c r="N61" s="316">
        <f t="shared" si="12"/>
        <v>24710.170883421622</v>
      </c>
    </row>
    <row r="62" spans="1:23" x14ac:dyDescent="0.4">
      <c r="A62" s="317" t="s">
        <v>45</v>
      </c>
      <c r="B62" s="118">
        <f>B61</f>
        <v>-650000</v>
      </c>
      <c r="C62" s="118">
        <f>B62+C61</f>
        <v>-945454.54545454541</v>
      </c>
      <c r="D62" s="118">
        <f t="shared" ref="D62" si="13">C62+D61</f>
        <v>-1214049.5867768594</v>
      </c>
      <c r="E62" s="118">
        <f>IF('Inputs - Constant'!E90="Yes",D62+E61,0)</f>
        <v>-1197326.0992486852</v>
      </c>
      <c r="F62" s="118">
        <f>IF('Inputs - Constant'!F90="Yes",E62+F61,0)</f>
        <v>-1179213.4650400416</v>
      </c>
      <c r="G62" s="118">
        <f>IF('Inputs - Constant'!G90="Yes",F62+G61,0)</f>
        <v>-1159861.0104073961</v>
      </c>
      <c r="H62" s="118">
        <f>IF('Inputs - Constant'!H90="Yes",G62+H61,0)</f>
        <v>-1139406.7011550807</v>
      </c>
      <c r="I62" s="118">
        <f>IF('Inputs - Constant'!I90="Yes",H62+I61,0)</f>
        <v>-1143635.8485813048</v>
      </c>
      <c r="J62" s="118">
        <f>IF('Inputs - Constant'!J90="Yes",I62+J61,0)</f>
        <v>-1121350.2307690226</v>
      </c>
      <c r="K62" s="118">
        <f>IF('Inputs - Constant'!K90="Yes",J62+K61,0)</f>
        <v>-1098316.2216631942</v>
      </c>
      <c r="L62" s="118">
        <f>IF('Inputs - Constant'!L90="Yes",K62+L61,0)</f>
        <v>-1074633.8132150508</v>
      </c>
      <c r="M62" s="118">
        <f>IF('Inputs - Constant'!M90="Yes",L62+M61,0)</f>
        <v>-1050395.122538046</v>
      </c>
      <c r="N62" s="293">
        <f>IF('Inputs - Constant'!N90="Yes",M62+N61,0)</f>
        <v>-1025684.9516546243</v>
      </c>
    </row>
    <row r="63" spans="1:23" x14ac:dyDescent="0.4">
      <c r="A63" s="1" t="s">
        <v>342</v>
      </c>
    </row>
    <row r="64" spans="1:23" ht="24.6" x14ac:dyDescent="0.4">
      <c r="A64" s="134" t="s">
        <v>56</v>
      </c>
      <c r="B64" s="133" t="s">
        <v>147</v>
      </c>
      <c r="D64" s="1"/>
      <c r="E64" s="1"/>
      <c r="L64" s="169"/>
    </row>
    <row r="65" spans="1:15" x14ac:dyDescent="0.4">
      <c r="A65" s="145" t="s">
        <v>138</v>
      </c>
      <c r="B65" s="109">
        <f>SUM(B61:N61)</f>
        <v>-1025684.9516546243</v>
      </c>
      <c r="C65" s="170" t="s">
        <v>88</v>
      </c>
      <c r="D65" s="171"/>
      <c r="E65" s="1"/>
    </row>
    <row r="66" spans="1:15" x14ac:dyDescent="0.4">
      <c r="A66" s="145" t="s">
        <v>139</v>
      </c>
      <c r="B66" s="172">
        <f>IFERROR(IRR(B59:N59),"")</f>
        <v>-0.12557034290063052</v>
      </c>
      <c r="C66" s="158" t="s">
        <v>237</v>
      </c>
      <c r="D66" s="1"/>
      <c r="E66" s="1"/>
    </row>
    <row r="67" spans="1:15" ht="49.5" customHeight="1" x14ac:dyDescent="0.4">
      <c r="A67" s="145" t="s">
        <v>265</v>
      </c>
      <c r="B67" s="226" t="str" cm="1">
        <f t="array" aca="1" ref="B67" ca="1">IFERROR((MATCH(TRUE,INDEX(B62:N62&gt;=-0.0001,0),0)-2)+((-INDEX(B62:N62,MATCH(TRUE,INDEX(B62:N62&gt;=-0.0001,0),0)-1))/(OFFSET(INDEX(B62:N62, MATCH(TRUE, INDEX(B62:N62&gt;=-0.0001, 0), 0)), -1, 0))),"N/A")</f>
        <v>N/A</v>
      </c>
      <c r="C67" s="342" t="s">
        <v>266</v>
      </c>
      <c r="D67" s="344"/>
      <c r="E67" s="344"/>
      <c r="F67" s="344"/>
      <c r="G67" s="344"/>
      <c r="H67" s="344"/>
      <c r="I67" s="344"/>
      <c r="J67" s="344"/>
    </row>
    <row r="68" spans="1:15" x14ac:dyDescent="0.4">
      <c r="A68" s="309" t="s">
        <v>232</v>
      </c>
      <c r="B68" s="287">
        <f>SUMPRODUCT(E58:N58,E60:N60)</f>
        <v>0</v>
      </c>
      <c r="I68" s="187"/>
      <c r="K68" s="221"/>
      <c r="L68" s="221"/>
      <c r="M68" s="221"/>
      <c r="N68" s="221"/>
      <c r="O68" s="221"/>
    </row>
    <row r="69" spans="1:15" x14ac:dyDescent="0.4">
      <c r="A69" s="1" t="s">
        <v>342</v>
      </c>
      <c r="E69" s="169"/>
      <c r="F69" s="169"/>
      <c r="G69" s="169"/>
      <c r="H69" s="169"/>
      <c r="I69" s="169"/>
      <c r="J69" s="169"/>
      <c r="K69" s="222"/>
    </row>
    <row r="70" spans="1:15" ht="49.2" x14ac:dyDescent="0.4">
      <c r="A70" s="105" t="s">
        <v>194</v>
      </c>
      <c r="B70" s="134" t="s">
        <v>147</v>
      </c>
      <c r="E70" s="169"/>
      <c r="F70" s="169"/>
      <c r="G70" s="169"/>
      <c r="H70" s="169"/>
      <c r="I70" s="169"/>
      <c r="J70" s="169"/>
      <c r="K70" s="221"/>
    </row>
    <row r="71" spans="1:15" ht="45.6" x14ac:dyDescent="0.4">
      <c r="A71" s="145" t="s">
        <v>257</v>
      </c>
      <c r="B71" s="217">
        <f>IF('Inputs - Constant'!A36&lt;&gt;'Inputs - Constant'!A32,0,-B65)</f>
        <v>0</v>
      </c>
      <c r="E71" s="169"/>
      <c r="F71" s="169"/>
      <c r="G71" s="169"/>
      <c r="H71" s="169"/>
      <c r="I71" s="169"/>
    </row>
    <row r="72" spans="1:15" x14ac:dyDescent="0.4">
      <c r="A72" s="179" t="s">
        <v>258</v>
      </c>
      <c r="B72" s="217">
        <f>IF('Inputs - Constant'!A36&lt;&gt;'Inputs - Constant'!A32,0, B71+B68)</f>
        <v>0</v>
      </c>
      <c r="C72" s="158" t="s">
        <v>259</v>
      </c>
    </row>
    <row r="73" spans="1:15" x14ac:dyDescent="0.4">
      <c r="A73" s="309" t="s">
        <v>260</v>
      </c>
      <c r="B73" s="321">
        <f>IFERROR(IRR(B76:N76),"")</f>
        <v>-0.12557034290063052</v>
      </c>
      <c r="C73" s="158" t="s">
        <v>233</v>
      </c>
    </row>
    <row r="74" spans="1:15" x14ac:dyDescent="0.4">
      <c r="A74" s="1" t="s">
        <v>342</v>
      </c>
    </row>
    <row r="75" spans="1:15" ht="108.6" customHeight="1" x14ac:dyDescent="0.4">
      <c r="A75" s="105" t="s">
        <v>192</v>
      </c>
      <c r="B75" s="340" t="s">
        <v>320</v>
      </c>
      <c r="C75" s="340" t="s">
        <v>321</v>
      </c>
      <c r="D75" s="340" t="s">
        <v>322</v>
      </c>
      <c r="E75" s="341" t="s">
        <v>323</v>
      </c>
      <c r="F75" s="341" t="s">
        <v>324</v>
      </c>
      <c r="G75" s="341" t="s">
        <v>325</v>
      </c>
      <c r="H75" s="341" t="s">
        <v>333</v>
      </c>
      <c r="I75" s="341" t="s">
        <v>327</v>
      </c>
      <c r="J75" s="341" t="s">
        <v>328</v>
      </c>
      <c r="K75" s="341" t="s">
        <v>329</v>
      </c>
      <c r="L75" s="341" t="s">
        <v>330</v>
      </c>
      <c r="M75" s="341" t="s">
        <v>331</v>
      </c>
      <c r="N75" s="341" t="s">
        <v>332</v>
      </c>
    </row>
    <row r="76" spans="1:15" x14ac:dyDescent="0.4">
      <c r="A76" s="309" t="s">
        <v>193</v>
      </c>
      <c r="B76" s="322">
        <f>IF('Inputs - Constant'!A36&lt;&gt;'Inputs - Constant'!A32,B59,B59+B71)</f>
        <v>-650000</v>
      </c>
      <c r="C76" s="322">
        <f>C59</f>
        <v>-325000</v>
      </c>
      <c r="D76" s="322">
        <f t="shared" ref="D76:N76" si="14">D59</f>
        <v>-325000</v>
      </c>
      <c r="E76" s="322">
        <f t="shared" si="14"/>
        <v>22258.961899999995</v>
      </c>
      <c r="F76" s="322">
        <f t="shared" si="14"/>
        <v>26518.707744874962</v>
      </c>
      <c r="G76" s="322">
        <f t="shared" si="14"/>
        <v>31167.321710421689</v>
      </c>
      <c r="H76" s="322">
        <f t="shared" si="14"/>
        <v>36236.056553341361</v>
      </c>
      <c r="I76" s="322">
        <f t="shared" si="14"/>
        <v>-8241.4119079039083</v>
      </c>
      <c r="J76" s="322">
        <f t="shared" si="14"/>
        <v>47771.200966344972</v>
      </c>
      <c r="K76" s="322">
        <f t="shared" si="14"/>
        <v>54312.98858556099</v>
      </c>
      <c r="L76" s="322">
        <f t="shared" si="14"/>
        <v>61426.06834938057</v>
      </c>
      <c r="M76" s="322">
        <f t="shared" si="14"/>
        <v>69155.813304795622</v>
      </c>
      <c r="N76" s="323">
        <f t="shared" si="14"/>
        <v>77551.101494155504</v>
      </c>
    </row>
    <row r="80" spans="1:15" x14ac:dyDescent="0.4">
      <c r="B80" s="176"/>
    </row>
    <row r="81" spans="2:9" x14ac:dyDescent="0.4">
      <c r="B81" s="223"/>
      <c r="C81" s="223"/>
      <c r="D81" s="223"/>
      <c r="E81" s="223"/>
      <c r="F81" s="223"/>
    </row>
    <row r="82" spans="2:9" x14ac:dyDescent="0.4">
      <c r="B82" s="169"/>
      <c r="C82" s="169"/>
      <c r="D82" s="169"/>
      <c r="E82" s="169"/>
      <c r="F82" s="169"/>
      <c r="G82" s="169"/>
      <c r="H82" s="169"/>
      <c r="I82" s="169"/>
    </row>
    <row r="83" spans="2:9" x14ac:dyDescent="0.4">
      <c r="B83" s="169"/>
      <c r="C83" s="169"/>
      <c r="D83" s="169"/>
      <c r="E83" s="169"/>
      <c r="F83" s="169"/>
    </row>
    <row r="84" spans="2:9" x14ac:dyDescent="0.4">
      <c r="B84" s="176"/>
    </row>
  </sheetData>
  <mergeCells count="1">
    <mergeCell ref="A3:B3"/>
  </mergeCells>
  <phoneticPr fontId="3" type="noConversion"/>
  <pageMargins left="0.7" right="0.7" top="0.75" bottom="0.75" header="0.3" footer="0.3"/>
  <pageSetup orientation="portrait" verticalDpi="0" r:id="rId1"/>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78C0D931-6437-407d-A8EE-F0AAD7539E65}">
      <x14:conditionalFormattings>
        <x14:conditionalFormatting xmlns:xm="http://schemas.microsoft.com/office/excel/2006/main">
          <x14:cfRule type="expression" priority="153" id="{D0A16586-CDC7-4FD5-B82D-C052B30BA626}">
            <xm:f>'Inputs - Constant'!$A$66&lt;&gt;'Inputs - Constant'!$A$61</xm:f>
            <x14:dxf>
              <font>
                <color theme="1"/>
              </font>
              <fill>
                <patternFill patternType="darkTrellis">
                  <bgColor theme="1" tint="0.499984740745262"/>
                </patternFill>
              </fill>
            </x14:dxf>
          </x14:cfRule>
          <xm:sqref>B27:D27 E28:N28 B29:N33 B36:B39 B42:B44 B48:N50</xm:sqref>
        </x14:conditionalFormatting>
        <x14:conditionalFormatting xmlns:xm="http://schemas.microsoft.com/office/excel/2006/main">
          <x14:cfRule type="expression" priority="151" id="{50AA0514-0152-428E-A500-92ABB47FB5AA}">
            <xm:f>'Inputs - Constant'!$A$66&lt;&gt;'Inputs - Constant'!$A$60</xm:f>
            <x14:dxf>
              <font>
                <color theme="1"/>
              </font>
              <fill>
                <patternFill patternType="darkTrellis">
                  <bgColor theme="1" tint="0.499984740745262"/>
                </patternFill>
              </fill>
            </x14:dxf>
          </x14:cfRule>
          <xm:sqref>B10:N17 B20:B22</xm:sqref>
        </x14:conditionalFormatting>
        <x14:conditionalFormatting xmlns:xm="http://schemas.microsoft.com/office/excel/2006/main">
          <x14:cfRule type="expression" priority="159" id="{B862C42D-73F0-42DD-B59E-41C23B489584}">
            <xm:f>'Inputs - Constant'!$A$66&lt;&gt;'Inputs - Constant'!$A$62</xm:f>
            <x14:dxf>
              <font>
                <color theme="1"/>
              </font>
              <fill>
                <patternFill patternType="darkTrellis">
                  <bgColor theme="1" tint="0.499984740745262"/>
                </patternFill>
              </fill>
            </x14:dxf>
          </x14:cfRule>
          <xm:sqref>B55:N62 B65:B68 B71:B73 B76:N76</xm:sqref>
        </x14:conditionalFormatting>
        <x14:conditionalFormatting xmlns:xm="http://schemas.microsoft.com/office/excel/2006/main">
          <x14:cfRule type="expression" priority="13" id="{A0195573-8D63-4DD7-A017-6209E62F2FC2}">
            <xm:f>'Inputs - Constant'!F$90:O$90="No"</xm:f>
            <x14:dxf>
              <font>
                <color theme="1"/>
              </font>
              <fill>
                <patternFill patternType="darkTrellis">
                  <bgColor theme="1" tint="0.499984740745262"/>
                </patternFill>
              </fill>
            </x14:dxf>
          </x14:cfRule>
          <xm:sqref>E11:N17</xm:sqref>
        </x14:conditionalFormatting>
        <x14:conditionalFormatting xmlns:xm="http://schemas.microsoft.com/office/excel/2006/main">
          <x14:cfRule type="expression" priority="94" id="{A0195573-8D63-4DD7-A017-6209E62F2FC2}">
            <xm:f>'Inputs - Constant'!E$90:N$90="No"</xm:f>
            <x14:dxf>
              <font>
                <color theme="1"/>
              </font>
              <fill>
                <patternFill patternType="darkTrellis">
                  <bgColor theme="1" tint="0.499984740745262"/>
                </patternFill>
              </fill>
            </x14:dxf>
          </x14:cfRule>
          <xm:sqref>E28:N33 E48:N50 E56:N62 E76:N76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9AE7-0B56-4398-AB7F-45BF7C4DE85C}">
  <sheetPr codeName="Sheet8">
    <tabColor theme="7"/>
  </sheetPr>
  <dimension ref="A1:V104"/>
  <sheetViews>
    <sheetView showGridLines="0" zoomScale="55" zoomScaleNormal="55" workbookViewId="0">
      <pane ySplit="1" topLeftCell="A3" activePane="bottomLeft" state="frozen"/>
      <selection pane="bottomLeft"/>
    </sheetView>
  </sheetViews>
  <sheetFormatPr defaultRowHeight="14.4" x14ac:dyDescent="0.3"/>
  <cols>
    <col min="1" max="1" width="89.33203125" customWidth="1"/>
    <col min="2" max="11" width="25.6640625" customWidth="1"/>
    <col min="12" max="12" width="20.6640625" customWidth="1"/>
    <col min="13" max="14" width="21" bestFit="1" customWidth="1"/>
  </cols>
  <sheetData>
    <row r="1" spans="1:22" ht="53.1" customHeight="1" x14ac:dyDescent="0.3">
      <c r="A1" s="147" t="s">
        <v>67</v>
      </c>
    </row>
    <row r="2" spans="1:22" ht="37.950000000000003" hidden="1" customHeight="1" x14ac:dyDescent="0.3">
      <c r="B2" s="148"/>
      <c r="C2" s="148"/>
      <c r="D2" s="148"/>
    </row>
    <row r="3" spans="1:22" ht="93" customHeight="1" x14ac:dyDescent="0.3">
      <c r="A3" s="401" t="s">
        <v>85</v>
      </c>
      <c r="B3" s="401"/>
      <c r="C3" s="148"/>
      <c r="D3" s="148"/>
    </row>
    <row r="4" spans="1:22" ht="20.100000000000001" customHeight="1" x14ac:dyDescent="0.3">
      <c r="A4" s="401"/>
      <c r="B4" s="401"/>
    </row>
    <row r="5" spans="1:22" hidden="1" x14ac:dyDescent="0.3"/>
    <row r="6" spans="1:22" ht="51" customHeight="1" x14ac:dyDescent="0.5">
      <c r="A6" s="155" t="str">
        <f>'Inputs - Constant'!A14</f>
        <v>California DOT EVCI P3 Test: Run 1 (Baseline Multiple Revenue Scenario)</v>
      </c>
    </row>
    <row r="7" spans="1:22" ht="22.8" x14ac:dyDescent="0.4">
      <c r="A7" s="1" t="s">
        <v>342</v>
      </c>
    </row>
    <row r="8" spans="1:22" s="5" customFormat="1" ht="30" x14ac:dyDescent="0.5">
      <c r="A8" s="157" t="s">
        <v>84</v>
      </c>
      <c r="B8" s="4"/>
      <c r="C8" s="6"/>
      <c r="D8" s="6"/>
      <c r="E8" s="6"/>
      <c r="F8" s="6"/>
      <c r="G8" s="6"/>
      <c r="H8" s="6"/>
      <c r="I8" s="6"/>
      <c r="J8" s="6"/>
      <c r="K8" s="6"/>
      <c r="L8" s="6"/>
      <c r="M8" s="6"/>
      <c r="N8" s="6"/>
      <c r="O8" s="6"/>
      <c r="P8" s="6"/>
      <c r="Q8" s="6"/>
      <c r="R8" s="6"/>
      <c r="S8" s="6"/>
      <c r="T8" s="6"/>
      <c r="U8" s="6"/>
      <c r="V8" s="6"/>
    </row>
    <row r="9" spans="1:22" ht="22.8" x14ac:dyDescent="0.4">
      <c r="A9" s="1" t="s">
        <v>342</v>
      </c>
      <c r="C9" s="3"/>
      <c r="D9" s="181"/>
      <c r="E9" s="3"/>
      <c r="F9" s="3"/>
      <c r="G9" s="3"/>
      <c r="H9" s="3"/>
      <c r="I9" s="3"/>
      <c r="K9" s="3"/>
      <c r="L9" s="3"/>
      <c r="M9" s="3"/>
      <c r="N9" s="3"/>
      <c r="O9" s="3"/>
    </row>
    <row r="10" spans="1:22" ht="108.6" customHeight="1" x14ac:dyDescent="0.5">
      <c r="A10" s="182" t="s">
        <v>128</v>
      </c>
      <c r="B10" s="340" t="s">
        <v>320</v>
      </c>
      <c r="C10" s="340" t="s">
        <v>321</v>
      </c>
      <c r="D10" s="340" t="s">
        <v>322</v>
      </c>
      <c r="E10" s="349" t="s">
        <v>323</v>
      </c>
      <c r="F10" s="349" t="s">
        <v>324</v>
      </c>
      <c r="G10" s="349" t="s">
        <v>325</v>
      </c>
      <c r="H10" s="349" t="s">
        <v>326</v>
      </c>
      <c r="I10" s="349" t="s">
        <v>327</v>
      </c>
      <c r="J10" s="349" t="s">
        <v>328</v>
      </c>
      <c r="K10" s="349" t="s">
        <v>329</v>
      </c>
      <c r="L10" s="349" t="s">
        <v>330</v>
      </c>
      <c r="M10" s="349" t="s">
        <v>331</v>
      </c>
      <c r="N10" s="349" t="s">
        <v>332</v>
      </c>
      <c r="O10" s="3"/>
    </row>
    <row r="11" spans="1:22" ht="22.8" x14ac:dyDescent="0.4">
      <c r="A11" s="31" t="s">
        <v>87</v>
      </c>
      <c r="B11" s="91"/>
      <c r="C11" s="91"/>
      <c r="D11" s="91"/>
      <c r="E11" s="108">
        <f>Outputs!E57</f>
        <v>122258.96189999999</v>
      </c>
      <c r="F11" s="108">
        <f>Outputs!F57</f>
        <v>131581.20774487496</v>
      </c>
      <c r="G11" s="108">
        <f>Outputs!G57</f>
        <v>141614.27483542167</v>
      </c>
      <c r="H11" s="108">
        <f>Outputs!H57</f>
        <v>152412.36329162258</v>
      </c>
      <c r="I11" s="108">
        <f>Outputs!I57</f>
        <v>164033.80599260874</v>
      </c>
      <c r="J11" s="108">
        <f>Outputs!J57</f>
        <v>176541.38369954514</v>
      </c>
      <c r="K11" s="108">
        <f>Outputs!K57</f>
        <v>190002.66420663544</v>
      </c>
      <c r="L11" s="108">
        <f>Outputs!L57</f>
        <v>204490.36735239139</v>
      </c>
      <c r="M11" s="108">
        <f>Outputs!M57</f>
        <v>220082.75786301124</v>
      </c>
      <c r="N11" s="285">
        <f>Outputs!N57</f>
        <v>236864.06815006587</v>
      </c>
      <c r="O11" s="3"/>
    </row>
    <row r="12" spans="1:22" ht="26.1" customHeight="1" x14ac:dyDescent="0.3">
      <c r="A12" s="31" t="s">
        <v>143</v>
      </c>
      <c r="B12" s="183">
        <f>Outputs!B12</f>
        <v>650000</v>
      </c>
      <c r="C12" s="183">
        <f>Outputs!C12</f>
        <v>325000</v>
      </c>
      <c r="D12" s="183">
        <f>Outputs!D12</f>
        <v>325000</v>
      </c>
      <c r="E12" s="108">
        <f>Outputs!E12</f>
        <v>100000</v>
      </c>
      <c r="F12" s="108">
        <f>Outputs!F12</f>
        <v>105062.5</v>
      </c>
      <c r="G12" s="108">
        <f>Outputs!G12</f>
        <v>110446.95312499999</v>
      </c>
      <c r="H12" s="108">
        <f>Outputs!H12</f>
        <v>116176.30673828122</v>
      </c>
      <c r="I12" s="108">
        <f>Outputs!I12</f>
        <v>172275.21790051265</v>
      </c>
      <c r="J12" s="108">
        <f>Outputs!J12</f>
        <v>128770.18273320017</v>
      </c>
      <c r="K12" s="108">
        <f>Outputs!K12</f>
        <v>135689.67562107445</v>
      </c>
      <c r="L12" s="108">
        <f>Outputs!L12</f>
        <v>143064.29900301082</v>
      </c>
      <c r="M12" s="108">
        <f>Outputs!M12</f>
        <v>150926.94455821562</v>
      </c>
      <c r="N12" s="285">
        <f>Outputs!N12</f>
        <v>159312.96665591036</v>
      </c>
      <c r="O12" s="3"/>
    </row>
    <row r="13" spans="1:22" ht="45.6" x14ac:dyDescent="0.4">
      <c r="A13" s="252" t="s">
        <v>223</v>
      </c>
      <c r="B13" s="324"/>
      <c r="C13" s="324"/>
      <c r="D13" s="324"/>
      <c r="E13" s="118">
        <f>Outputs!E83</f>
        <v>0</v>
      </c>
      <c r="F13" s="118">
        <f>Outputs!F83</f>
        <v>0</v>
      </c>
      <c r="G13" s="118">
        <f>Outputs!G83</f>
        <v>0</v>
      </c>
      <c r="H13" s="118">
        <f>Outputs!H83</f>
        <v>0</v>
      </c>
      <c r="I13" s="118">
        <f>Outputs!I83</f>
        <v>0</v>
      </c>
      <c r="J13" s="118">
        <f>Outputs!J83</f>
        <v>0</v>
      </c>
      <c r="K13" s="118">
        <f>Outputs!K83</f>
        <v>0</v>
      </c>
      <c r="L13" s="118">
        <f>Outputs!L83</f>
        <v>0</v>
      </c>
      <c r="M13" s="118">
        <f>Outputs!M83</f>
        <v>0</v>
      </c>
      <c r="N13" s="293">
        <f>Outputs!N83</f>
        <v>0</v>
      </c>
      <c r="O13" s="3"/>
    </row>
    <row r="14" spans="1:22" ht="26.1" customHeight="1" x14ac:dyDescent="0.4">
      <c r="A14" s="1" t="s">
        <v>342</v>
      </c>
      <c r="B14" s="184"/>
      <c r="C14" s="184"/>
      <c r="D14" s="184"/>
      <c r="E14" s="184"/>
      <c r="F14" s="184"/>
      <c r="G14" s="184"/>
      <c r="H14" s="184"/>
      <c r="I14" s="184"/>
      <c r="J14" s="184"/>
      <c r="K14" s="184"/>
      <c r="L14" s="184"/>
      <c r="M14" s="184"/>
      <c r="N14" s="184"/>
      <c r="O14" s="3"/>
    </row>
    <row r="15" spans="1:22" ht="24.6" x14ac:dyDescent="0.4">
      <c r="A15" s="134" t="s">
        <v>178</v>
      </c>
      <c r="B15" s="134" t="s">
        <v>147</v>
      </c>
      <c r="C15" s="3"/>
      <c r="D15" s="181"/>
      <c r="E15" s="3"/>
      <c r="F15" s="3"/>
      <c r="G15" s="3"/>
      <c r="H15" s="3"/>
      <c r="I15" s="3"/>
      <c r="K15" s="3"/>
      <c r="L15" s="3"/>
      <c r="M15" s="3"/>
      <c r="N15" s="3"/>
      <c r="O15" s="3"/>
    </row>
    <row r="16" spans="1:22" ht="28.2" x14ac:dyDescent="0.3">
      <c r="A16" s="31" t="s">
        <v>252</v>
      </c>
      <c r="B16" s="183">
        <f>SUMPRODUCT(E11:N11,DCF!E15:N15)</f>
        <v>834253.39118284942</v>
      </c>
      <c r="C16" s="3"/>
      <c r="D16" s="181"/>
      <c r="E16" s="3"/>
      <c r="F16" s="185"/>
      <c r="G16" s="3"/>
      <c r="H16" s="3"/>
      <c r="I16" s="3"/>
      <c r="K16" s="3"/>
      <c r="L16" s="3"/>
      <c r="M16" s="3"/>
      <c r="N16" s="3"/>
      <c r="O16" s="3"/>
    </row>
    <row r="17" spans="1:15" ht="22.8" x14ac:dyDescent="0.3">
      <c r="A17" s="186" t="s">
        <v>251</v>
      </c>
      <c r="B17" s="183">
        <f>Outputs!B18</f>
        <v>1859938.3428374736</v>
      </c>
      <c r="C17" s="3"/>
      <c r="D17" s="181"/>
      <c r="E17" s="3"/>
      <c r="F17" s="3"/>
      <c r="G17" s="3"/>
      <c r="H17" s="3"/>
      <c r="I17" s="3"/>
      <c r="K17" s="3"/>
      <c r="L17" s="3"/>
      <c r="M17" s="3"/>
      <c r="N17" s="3"/>
      <c r="O17" s="3"/>
    </row>
    <row r="18" spans="1:15" ht="22.8" x14ac:dyDescent="0.3">
      <c r="A18" s="252" t="s">
        <v>250</v>
      </c>
      <c r="B18" s="325">
        <f>SUMPRODUCT(E13:N13,DCF!E15:N15)</f>
        <v>0</v>
      </c>
      <c r="C18" s="3"/>
      <c r="D18" s="181"/>
      <c r="E18" s="3"/>
      <c r="F18" s="3"/>
      <c r="G18" s="3"/>
      <c r="H18" s="3"/>
      <c r="I18" s="3"/>
      <c r="K18" s="3"/>
      <c r="L18" s="3"/>
      <c r="M18" s="3"/>
      <c r="N18" s="3"/>
      <c r="O18" s="3"/>
    </row>
    <row r="19" spans="1:15" ht="22.8" x14ac:dyDescent="0.4">
      <c r="A19" s="1" t="s">
        <v>342</v>
      </c>
      <c r="C19" s="3"/>
      <c r="D19" s="181"/>
      <c r="E19" s="3"/>
      <c r="F19" s="3"/>
      <c r="G19" s="3"/>
      <c r="H19" s="3"/>
      <c r="I19" s="3"/>
      <c r="K19" s="3"/>
      <c r="L19" s="3"/>
      <c r="M19" s="3"/>
      <c r="N19" s="3"/>
      <c r="O19" s="3"/>
    </row>
    <row r="20" spans="1:15" ht="98.4" customHeight="1" x14ac:dyDescent="0.5">
      <c r="A20" s="182" t="s">
        <v>119</v>
      </c>
      <c r="B20" s="340" t="s">
        <v>320</v>
      </c>
      <c r="C20" s="340" t="s">
        <v>321</v>
      </c>
      <c r="D20" s="340" t="s">
        <v>322</v>
      </c>
      <c r="E20" s="349" t="s">
        <v>323</v>
      </c>
      <c r="F20" s="349" t="s">
        <v>324</v>
      </c>
      <c r="G20" s="349" t="s">
        <v>325</v>
      </c>
      <c r="H20" s="349" t="s">
        <v>326</v>
      </c>
      <c r="I20" s="349" t="s">
        <v>327</v>
      </c>
      <c r="J20" s="349" t="s">
        <v>328</v>
      </c>
      <c r="K20" s="349" t="s">
        <v>329</v>
      </c>
      <c r="L20" s="349" t="s">
        <v>330</v>
      </c>
      <c r="M20" s="349" t="s">
        <v>331</v>
      </c>
      <c r="N20" s="349" t="s">
        <v>332</v>
      </c>
      <c r="O20" s="3"/>
    </row>
    <row r="21" spans="1:15" ht="22.8" x14ac:dyDescent="0.3">
      <c r="A21" s="31" t="s">
        <v>93</v>
      </c>
      <c r="B21" s="326" t="str">
        <f>Outputs!B31</f>
        <v>-</v>
      </c>
      <c r="C21" s="326" t="str">
        <f>Outputs!C31</f>
        <v>-</v>
      </c>
      <c r="D21" s="326" t="str">
        <f>Outputs!D31</f>
        <v>-</v>
      </c>
      <c r="E21" s="183">
        <f>Outputs!E31</f>
        <v>136518.66706523055</v>
      </c>
      <c r="F21" s="183">
        <f>Outputs!F31</f>
        <v>150170.5337717536</v>
      </c>
      <c r="G21" s="183">
        <f>Outputs!G31</f>
        <v>165187.58714892899</v>
      </c>
      <c r="H21" s="183">
        <f>Outputs!H31</f>
        <v>181706.34586382189</v>
      </c>
      <c r="I21" s="183">
        <f>Outputs!I31</f>
        <v>199876.98045020411</v>
      </c>
      <c r="J21" s="183">
        <f>Outputs!J31</f>
        <v>219864.67849522451</v>
      </c>
      <c r="K21" s="183">
        <f>Outputs!K31</f>
        <v>241851.14634474699</v>
      </c>
      <c r="L21" s="183">
        <f>Outputs!L31</f>
        <v>266036.26097922173</v>
      </c>
      <c r="M21" s="183">
        <f>Outputs!M31</f>
        <v>292639.88707714394</v>
      </c>
      <c r="N21" s="327">
        <f>Outputs!N31</f>
        <v>321903.8757848583</v>
      </c>
      <c r="O21" s="3"/>
    </row>
    <row r="22" spans="1:15" ht="26.1" customHeight="1" x14ac:dyDescent="0.3">
      <c r="A22" s="31" t="s">
        <v>133</v>
      </c>
      <c r="B22" s="326" t="str">
        <f>Outputs!B35</f>
        <v>-</v>
      </c>
      <c r="C22" s="326" t="str">
        <f>Outputs!C35</f>
        <v>-</v>
      </c>
      <c r="D22" s="326" t="str">
        <f>Outputs!D35</f>
        <v>-</v>
      </c>
      <c r="E22" s="183">
        <f>Outputs!E35</f>
        <v>136518.66706523055</v>
      </c>
      <c r="F22" s="183">
        <f>Outputs!F35</f>
        <v>150170.5337717536</v>
      </c>
      <c r="G22" s="183">
        <f>Outputs!G35</f>
        <v>165187.58714892899</v>
      </c>
      <c r="H22" s="183">
        <f>Outputs!H35</f>
        <v>181706.34586382189</v>
      </c>
      <c r="I22" s="183">
        <f>Outputs!I35</f>
        <v>199876.98045020411</v>
      </c>
      <c r="J22" s="183">
        <f>Outputs!J35</f>
        <v>219864.67849522451</v>
      </c>
      <c r="K22" s="183">
        <f>Outputs!K35</f>
        <v>241851.14634474699</v>
      </c>
      <c r="L22" s="183">
        <f>Outputs!L35</f>
        <v>266036.26097922173</v>
      </c>
      <c r="M22" s="183">
        <f>Outputs!M35</f>
        <v>292639.88707714394</v>
      </c>
      <c r="N22" s="327">
        <f>Outputs!N35</f>
        <v>321903.8757848583</v>
      </c>
      <c r="O22" s="3"/>
    </row>
    <row r="23" spans="1:15" ht="22.8" x14ac:dyDescent="0.3">
      <c r="A23" s="31" t="s">
        <v>114</v>
      </c>
      <c r="B23" s="326" t="str">
        <f>Outputs!B37</f>
        <v>-</v>
      </c>
      <c r="C23" s="326" t="str">
        <f>Outputs!C37</f>
        <v>-</v>
      </c>
      <c r="D23" s="326" t="str">
        <f>Outputs!D37</f>
        <v>-</v>
      </c>
      <c r="E23" s="183">
        <f>Outputs!E37</f>
        <v>0</v>
      </c>
      <c r="F23" s="183">
        <f>Outputs!F37</f>
        <v>0</v>
      </c>
      <c r="G23" s="183">
        <f>Outputs!G37</f>
        <v>0</v>
      </c>
      <c r="H23" s="183">
        <f>Outputs!H37</f>
        <v>0</v>
      </c>
      <c r="I23" s="183">
        <f>Outputs!I37</f>
        <v>0</v>
      </c>
      <c r="J23" s="183">
        <f>Outputs!J37</f>
        <v>0</v>
      </c>
      <c r="K23" s="183">
        <f>Outputs!K37</f>
        <v>0</v>
      </c>
      <c r="L23" s="183">
        <f>Outputs!L37</f>
        <v>0</v>
      </c>
      <c r="M23" s="183">
        <f>Outputs!M37</f>
        <v>0</v>
      </c>
      <c r="N23" s="327">
        <f>Outputs!N37</f>
        <v>0</v>
      </c>
      <c r="O23" s="187"/>
    </row>
    <row r="24" spans="1:15" ht="22.8" x14ac:dyDescent="0.4">
      <c r="A24" s="1" t="s">
        <v>342</v>
      </c>
      <c r="B24" s="184"/>
      <c r="C24" s="184"/>
      <c r="D24" s="184"/>
      <c r="E24" s="184"/>
      <c r="F24" s="184"/>
      <c r="G24" s="184"/>
      <c r="H24" s="184"/>
      <c r="I24" s="184"/>
      <c r="J24" s="184"/>
      <c r="K24" s="184"/>
      <c r="L24" s="184"/>
      <c r="M24" s="184"/>
      <c r="N24" s="184"/>
      <c r="O24" s="187"/>
    </row>
    <row r="25" spans="1:15" ht="26.1" customHeight="1" x14ac:dyDescent="0.4">
      <c r="A25" s="110" t="s">
        <v>178</v>
      </c>
      <c r="B25" s="134" t="s">
        <v>147</v>
      </c>
      <c r="C25" s="3"/>
      <c r="E25" s="3"/>
      <c r="F25" s="3"/>
      <c r="G25" s="3"/>
      <c r="H25" s="3"/>
      <c r="I25" s="3"/>
      <c r="J25" s="3"/>
      <c r="K25" s="3"/>
      <c r="L25" s="3"/>
      <c r="M25" s="3"/>
      <c r="N25" s="3"/>
      <c r="O25" s="3"/>
    </row>
    <row r="26" spans="1:15" ht="26.1" customHeight="1" x14ac:dyDescent="0.3">
      <c r="A26" s="31" t="s">
        <v>78</v>
      </c>
      <c r="B26" s="183">
        <f>DCF!B20</f>
        <v>4.3655745685100555E-10</v>
      </c>
      <c r="C26" s="3"/>
      <c r="E26" s="3"/>
      <c r="F26" s="3"/>
      <c r="G26" s="3"/>
      <c r="H26" s="3"/>
      <c r="I26" s="3"/>
      <c r="J26" s="3"/>
      <c r="K26" s="3"/>
      <c r="L26" s="3"/>
      <c r="M26" s="3"/>
      <c r="N26" s="3"/>
      <c r="O26" s="3"/>
    </row>
    <row r="27" spans="1:15" ht="26.1" customHeight="1" x14ac:dyDescent="0.3">
      <c r="A27" s="31" t="s">
        <v>247</v>
      </c>
      <c r="B27" s="183">
        <f>SUMPRODUCT(B22:N22,DCF!B15:N15)</f>
        <v>1025684.9516546247</v>
      </c>
      <c r="C27" s="3"/>
      <c r="E27" s="3"/>
      <c r="F27" s="3"/>
      <c r="G27" s="3"/>
      <c r="H27" s="3"/>
      <c r="I27" s="3"/>
      <c r="J27" s="3"/>
      <c r="K27" s="3"/>
      <c r="L27" s="3"/>
      <c r="M27" s="3"/>
      <c r="N27" s="3"/>
      <c r="O27" s="3"/>
    </row>
    <row r="28" spans="1:15" ht="22.8" x14ac:dyDescent="0.3">
      <c r="A28" s="31" t="s">
        <v>248</v>
      </c>
      <c r="B28" s="183">
        <f>SUMPRODUCT(B23:N23,DCF!B15:N15)</f>
        <v>0</v>
      </c>
      <c r="E28" s="3"/>
      <c r="F28" s="3"/>
      <c r="G28" s="3"/>
      <c r="H28" s="3"/>
      <c r="I28" s="3"/>
      <c r="J28" s="3"/>
      <c r="K28" s="3"/>
      <c r="L28" s="3"/>
      <c r="M28" s="3"/>
      <c r="N28" s="3"/>
      <c r="O28" s="3"/>
    </row>
    <row r="29" spans="1:15" ht="22.8" x14ac:dyDescent="0.3">
      <c r="A29" s="31" t="s">
        <v>242</v>
      </c>
      <c r="B29" s="219">
        <f>DCF!B21</f>
        <v>0.10000000000000009</v>
      </c>
      <c r="E29" s="3"/>
      <c r="F29" s="3"/>
      <c r="G29" s="3"/>
      <c r="H29" s="3"/>
      <c r="I29" s="3"/>
      <c r="J29" s="3"/>
      <c r="K29" s="3"/>
      <c r="L29" s="3"/>
      <c r="M29" s="3"/>
      <c r="N29" s="3"/>
      <c r="O29" s="3"/>
    </row>
    <row r="30" spans="1:15" ht="45.6" x14ac:dyDescent="0.3">
      <c r="A30" s="252" t="s">
        <v>249</v>
      </c>
      <c r="B30" s="328">
        <f>Outputs!E32</f>
        <v>0.55146180280893942</v>
      </c>
      <c r="E30" s="3"/>
      <c r="F30" s="3"/>
      <c r="G30" s="3"/>
      <c r="H30" s="3"/>
      <c r="I30" s="3"/>
      <c r="J30" s="3"/>
      <c r="K30" s="3"/>
      <c r="L30" s="3"/>
      <c r="M30" s="3"/>
      <c r="N30" s="3"/>
      <c r="O30" s="3"/>
    </row>
    <row r="31" spans="1:15" ht="26.1" customHeight="1" x14ac:dyDescent="0.4">
      <c r="A31" s="1" t="s">
        <v>342</v>
      </c>
      <c r="C31" s="3"/>
      <c r="E31" s="3"/>
      <c r="F31" s="3"/>
      <c r="G31" s="3"/>
      <c r="H31" s="3"/>
      <c r="I31" s="3"/>
      <c r="J31" s="3"/>
      <c r="K31" s="3"/>
      <c r="L31" s="3"/>
      <c r="M31" s="3"/>
      <c r="N31" s="3"/>
      <c r="O31" s="3"/>
    </row>
    <row r="32" spans="1:15" ht="120" customHeight="1" x14ac:dyDescent="0.5">
      <c r="A32" s="351" t="s">
        <v>120</v>
      </c>
      <c r="B32" s="340" t="s">
        <v>320</v>
      </c>
      <c r="C32" s="340" t="s">
        <v>321</v>
      </c>
      <c r="D32" s="340" t="s">
        <v>322</v>
      </c>
      <c r="E32" s="349" t="s">
        <v>323</v>
      </c>
      <c r="F32" s="349" t="s">
        <v>324</v>
      </c>
      <c r="G32" s="349" t="s">
        <v>325</v>
      </c>
      <c r="H32" s="349" t="s">
        <v>326</v>
      </c>
      <c r="I32" s="349" t="s">
        <v>327</v>
      </c>
      <c r="J32" s="349" t="s">
        <v>328</v>
      </c>
      <c r="K32" s="349" t="s">
        <v>329</v>
      </c>
      <c r="L32" s="349" t="s">
        <v>330</v>
      </c>
      <c r="M32" s="349" t="s">
        <v>331</v>
      </c>
      <c r="N32" s="349" t="s">
        <v>332</v>
      </c>
      <c r="O32" s="3"/>
    </row>
    <row r="33" spans="1:15" ht="22.8" x14ac:dyDescent="0.3">
      <c r="A33" s="31" t="s">
        <v>142</v>
      </c>
      <c r="B33" s="107">
        <f>Outputs!B42</f>
        <v>520000</v>
      </c>
      <c r="C33" s="107">
        <f>Outputs!C42</f>
        <v>260000</v>
      </c>
      <c r="D33" s="107">
        <f>Outputs!D42</f>
        <v>260000</v>
      </c>
      <c r="E33" s="107">
        <f>Outputs!E42</f>
        <v>0</v>
      </c>
      <c r="F33" s="107">
        <f>Outputs!F42</f>
        <v>0</v>
      </c>
      <c r="G33" s="107">
        <f>Outputs!G42</f>
        <v>0</v>
      </c>
      <c r="H33" s="107">
        <f>Outputs!H42</f>
        <v>0</v>
      </c>
      <c r="I33" s="107">
        <f>Outputs!I42</f>
        <v>6593.1295263231268</v>
      </c>
      <c r="J33" s="107">
        <f>Outputs!J42</f>
        <v>0</v>
      </c>
      <c r="K33" s="107">
        <f>Outputs!K42</f>
        <v>0</v>
      </c>
      <c r="L33" s="107">
        <f>Outputs!L42</f>
        <v>0</v>
      </c>
      <c r="M33" s="107">
        <f>Outputs!M42</f>
        <v>0</v>
      </c>
      <c r="N33" s="307">
        <f>Outputs!N42</f>
        <v>0</v>
      </c>
      <c r="O33" s="3"/>
    </row>
    <row r="34" spans="1:15" ht="22.8" x14ac:dyDescent="0.4">
      <c r="A34" s="1" t="s">
        <v>342</v>
      </c>
      <c r="B34" s="59"/>
      <c r="C34" s="59"/>
      <c r="D34" s="59"/>
      <c r="E34" s="59"/>
      <c r="F34" s="59"/>
      <c r="G34" s="59"/>
      <c r="H34" s="59"/>
      <c r="I34" s="59"/>
      <c r="J34" s="127"/>
      <c r="K34" s="127"/>
      <c r="L34" s="127"/>
      <c r="M34" s="127"/>
      <c r="N34" s="127"/>
      <c r="O34" s="3"/>
    </row>
    <row r="35" spans="1:15" ht="26.1" customHeight="1" x14ac:dyDescent="0.4">
      <c r="A35" s="134" t="s">
        <v>178</v>
      </c>
      <c r="B35" s="134" t="s">
        <v>147</v>
      </c>
      <c r="C35" s="3"/>
      <c r="E35" s="3"/>
      <c r="F35" s="3"/>
      <c r="G35" s="3"/>
      <c r="H35" s="3"/>
      <c r="I35" s="3"/>
      <c r="J35" s="3"/>
      <c r="K35" s="3"/>
      <c r="L35" s="3"/>
      <c r="M35" s="3"/>
      <c r="N35" s="3"/>
      <c r="O35" s="3"/>
    </row>
    <row r="36" spans="1:15" ht="26.1" customHeight="1" x14ac:dyDescent="0.4">
      <c r="A36" s="131" t="s">
        <v>78</v>
      </c>
      <c r="B36" s="183">
        <f>DCF!B36</f>
        <v>-51061.964292157427</v>
      </c>
      <c r="C36" s="3"/>
      <c r="E36" s="3"/>
      <c r="F36" s="3"/>
      <c r="G36" s="3"/>
      <c r="H36" s="3"/>
      <c r="I36" s="3"/>
      <c r="J36" s="3"/>
      <c r="K36" s="3"/>
      <c r="L36" s="3"/>
      <c r="M36" s="3"/>
      <c r="N36" s="3"/>
      <c r="O36" s="3"/>
    </row>
    <row r="37" spans="1:15" ht="26.1" customHeight="1" x14ac:dyDescent="0.4">
      <c r="A37" s="131" t="s">
        <v>253</v>
      </c>
      <c r="B37" s="219">
        <f>DCF!B37</f>
        <v>6.5365809664466701E-2</v>
      </c>
      <c r="C37" s="3"/>
      <c r="E37" s="3"/>
      <c r="F37" s="3"/>
      <c r="G37" s="3"/>
      <c r="H37" s="3"/>
      <c r="I37" s="3"/>
      <c r="J37" s="143"/>
      <c r="K37" s="3"/>
      <c r="L37" s="3"/>
      <c r="M37" s="3"/>
      <c r="N37" s="3"/>
      <c r="O37" s="3"/>
    </row>
    <row r="38" spans="1:15" ht="26.1" customHeight="1" x14ac:dyDescent="0.4">
      <c r="A38" s="131" t="s">
        <v>254</v>
      </c>
      <c r="B38" s="183">
        <f>DCF!B39</f>
        <v>974622.98736246687</v>
      </c>
      <c r="C38" s="3"/>
      <c r="E38" s="3"/>
      <c r="F38" s="3"/>
      <c r="G38" s="3"/>
      <c r="H38" s="3"/>
      <c r="I38" s="3"/>
      <c r="J38" s="3"/>
      <c r="K38" s="3"/>
      <c r="L38" s="3"/>
      <c r="M38" s="3"/>
      <c r="N38" s="3"/>
      <c r="O38" s="3"/>
    </row>
    <row r="39" spans="1:15" ht="26.1" customHeight="1" x14ac:dyDescent="0.4">
      <c r="A39" s="131" t="s">
        <v>243</v>
      </c>
      <c r="B39" s="183">
        <f>DCF!B42</f>
        <v>51061.964292157427</v>
      </c>
      <c r="C39" s="3"/>
      <c r="E39" s="3"/>
      <c r="F39" s="3"/>
      <c r="G39" s="3"/>
      <c r="H39" s="3"/>
      <c r="I39" s="3"/>
      <c r="J39" s="3"/>
      <c r="K39" s="3"/>
      <c r="L39" s="3"/>
      <c r="M39" s="3"/>
      <c r="N39" s="3"/>
      <c r="O39" s="3"/>
    </row>
    <row r="40" spans="1:15" ht="26.1" customHeight="1" x14ac:dyDescent="0.4">
      <c r="A40" s="131" t="s">
        <v>255</v>
      </c>
      <c r="B40" s="107">
        <f>DCF!B43</f>
        <v>1025684.9516546243</v>
      </c>
      <c r="C40" s="3"/>
      <c r="E40" s="3"/>
      <c r="F40" s="3"/>
      <c r="G40" s="3"/>
      <c r="H40" s="3"/>
      <c r="I40" s="3"/>
      <c r="J40" s="3"/>
      <c r="K40" s="3"/>
      <c r="L40" s="3"/>
      <c r="M40" s="3"/>
      <c r="N40" s="3"/>
      <c r="O40" s="3"/>
    </row>
    <row r="41" spans="1:15" ht="26.1" customHeight="1" x14ac:dyDescent="0.4">
      <c r="A41" s="329" t="s">
        <v>256</v>
      </c>
      <c r="B41" s="330">
        <f>DCF!B44</f>
        <v>0.10000000000000009</v>
      </c>
      <c r="C41" s="3"/>
      <c r="E41" s="3"/>
      <c r="F41" s="3"/>
      <c r="G41" s="3"/>
      <c r="H41" s="3"/>
      <c r="I41" s="3"/>
      <c r="J41" s="3"/>
      <c r="K41" s="3"/>
      <c r="L41" s="3"/>
      <c r="M41" s="3"/>
      <c r="N41" s="3"/>
      <c r="O41" s="3"/>
    </row>
    <row r="42" spans="1:15" ht="22.8" x14ac:dyDescent="0.4">
      <c r="A42" s="1" t="s">
        <v>342</v>
      </c>
      <c r="C42" s="3"/>
      <c r="E42" s="3"/>
      <c r="F42" s="3"/>
      <c r="G42" s="3"/>
      <c r="H42" s="3"/>
      <c r="I42" s="3"/>
      <c r="J42" s="3"/>
      <c r="K42" s="3"/>
      <c r="L42" s="3"/>
      <c r="M42" s="3"/>
      <c r="N42" s="3"/>
      <c r="O42" s="3"/>
    </row>
    <row r="43" spans="1:15" ht="117" customHeight="1" x14ac:dyDescent="0.5">
      <c r="A43" s="351" t="s">
        <v>203</v>
      </c>
      <c r="B43" s="340" t="s">
        <v>320</v>
      </c>
      <c r="C43" s="340" t="s">
        <v>321</v>
      </c>
      <c r="D43" s="340" t="s">
        <v>322</v>
      </c>
      <c r="E43" s="349" t="s">
        <v>323</v>
      </c>
      <c r="F43" s="349" t="s">
        <v>324</v>
      </c>
      <c r="G43" s="349" t="s">
        <v>325</v>
      </c>
      <c r="H43" s="349" t="s">
        <v>326</v>
      </c>
      <c r="I43" s="349" t="s">
        <v>327</v>
      </c>
      <c r="J43" s="349" t="s">
        <v>328</v>
      </c>
      <c r="K43" s="349" t="s">
        <v>329</v>
      </c>
      <c r="L43" s="349" t="s">
        <v>330</v>
      </c>
      <c r="M43" s="349" t="s">
        <v>331</v>
      </c>
      <c r="N43" s="349" t="s">
        <v>332</v>
      </c>
      <c r="O43" s="3"/>
    </row>
    <row r="44" spans="1:15" ht="26.1" customHeight="1" x14ac:dyDescent="0.4">
      <c r="A44" s="31" t="s">
        <v>204</v>
      </c>
      <c r="B44" s="91"/>
      <c r="C44" s="91"/>
      <c r="D44" s="91"/>
      <c r="E44" s="107">
        <f>Outputs!E73</f>
        <v>0</v>
      </c>
      <c r="F44" s="107">
        <f>Outputs!F73</f>
        <v>0</v>
      </c>
      <c r="G44" s="107">
        <f>Outputs!G73</f>
        <v>0</v>
      </c>
      <c r="H44" s="107">
        <f>Outputs!H73</f>
        <v>0</v>
      </c>
      <c r="I44" s="107">
        <f>Outputs!I73</f>
        <v>0</v>
      </c>
      <c r="J44" s="107">
        <f>Outputs!J73</f>
        <v>0</v>
      </c>
      <c r="K44" s="107">
        <f>Outputs!K73</f>
        <v>0</v>
      </c>
      <c r="L44" s="107">
        <f>Outputs!L73</f>
        <v>0</v>
      </c>
      <c r="M44" s="107">
        <f>Outputs!M73</f>
        <v>0</v>
      </c>
      <c r="N44" s="307">
        <f>Outputs!N73</f>
        <v>0</v>
      </c>
      <c r="O44" s="3"/>
    </row>
    <row r="45" spans="1:15" ht="26.1" customHeight="1" x14ac:dyDescent="0.4">
      <c r="A45" s="1" t="s">
        <v>342</v>
      </c>
      <c r="B45" s="59"/>
      <c r="C45" s="59"/>
      <c r="D45" s="59"/>
      <c r="E45" s="59"/>
      <c r="F45" s="59"/>
      <c r="G45" s="59"/>
      <c r="H45" s="59"/>
      <c r="I45" s="59"/>
      <c r="J45" s="127"/>
      <c r="K45" s="127"/>
      <c r="L45" s="127"/>
      <c r="M45" s="127"/>
      <c r="N45" s="127"/>
      <c r="O45" s="3"/>
    </row>
    <row r="46" spans="1:15" ht="26.1" customHeight="1" x14ac:dyDescent="0.4">
      <c r="A46" s="133" t="s">
        <v>178</v>
      </c>
      <c r="B46" s="133" t="s">
        <v>147</v>
      </c>
      <c r="C46" s="3"/>
      <c r="E46" s="3"/>
      <c r="F46" s="3"/>
      <c r="G46" s="3"/>
      <c r="H46" s="3"/>
      <c r="I46" s="3"/>
      <c r="J46" s="3"/>
      <c r="K46" s="3"/>
      <c r="L46" s="3"/>
      <c r="M46" s="3"/>
      <c r="N46" s="3"/>
      <c r="O46" s="3"/>
    </row>
    <row r="47" spans="1:15" ht="26.1" customHeight="1" x14ac:dyDescent="0.4">
      <c r="A47" s="131" t="s">
        <v>78</v>
      </c>
      <c r="B47" s="183">
        <f>DCF!B65</f>
        <v>-1025684.9516546243</v>
      </c>
      <c r="C47" s="158"/>
      <c r="E47" s="3"/>
      <c r="F47" s="3"/>
      <c r="G47" s="3"/>
      <c r="H47" s="3"/>
      <c r="I47" s="3"/>
      <c r="J47" s="3"/>
      <c r="K47" s="3"/>
      <c r="L47" s="3"/>
      <c r="M47" s="3"/>
      <c r="N47" s="3"/>
      <c r="O47" s="3"/>
    </row>
    <row r="48" spans="1:15" ht="22.8" x14ac:dyDescent="0.4">
      <c r="A48" s="131" t="s">
        <v>244</v>
      </c>
      <c r="B48" s="146">
        <f>DCF!B68</f>
        <v>0</v>
      </c>
      <c r="C48" s="3"/>
      <c r="E48" s="3"/>
      <c r="F48" s="3"/>
      <c r="G48" s="3"/>
      <c r="H48" s="3"/>
      <c r="I48" s="3"/>
      <c r="J48" s="3"/>
      <c r="K48" s="3"/>
      <c r="L48" s="3"/>
      <c r="M48" s="3"/>
      <c r="N48" s="3"/>
      <c r="O48" s="3"/>
    </row>
    <row r="49" spans="1:22" ht="22.8" x14ac:dyDescent="0.4">
      <c r="A49" s="131" t="s">
        <v>245</v>
      </c>
      <c r="B49" s="220">
        <f>DCF!B66</f>
        <v>-0.12557034290063052</v>
      </c>
      <c r="C49" s="3"/>
      <c r="E49" s="3"/>
      <c r="F49" s="3"/>
      <c r="G49" s="3"/>
      <c r="H49" s="3"/>
      <c r="I49" s="3"/>
      <c r="J49" s="3"/>
      <c r="K49" s="3"/>
      <c r="L49" s="3"/>
      <c r="M49" s="3"/>
      <c r="N49" s="3"/>
      <c r="O49" s="3"/>
    </row>
    <row r="50" spans="1:22" ht="22.8" x14ac:dyDescent="0.4">
      <c r="A50" s="303" t="s">
        <v>246</v>
      </c>
      <c r="B50" s="310">
        <f>DCF!B71</f>
        <v>0</v>
      </c>
      <c r="C50" s="3"/>
      <c r="E50" s="3"/>
      <c r="F50" s="3"/>
      <c r="G50" s="3"/>
      <c r="H50" s="3"/>
      <c r="I50" s="3"/>
      <c r="J50" s="3"/>
      <c r="K50" s="3"/>
      <c r="L50" s="3"/>
      <c r="M50" s="3"/>
      <c r="N50" s="3"/>
      <c r="O50" s="3"/>
    </row>
    <row r="51" spans="1:22" ht="26.1" customHeight="1" x14ac:dyDescent="0.4">
      <c r="A51" s="1" t="s">
        <v>342</v>
      </c>
      <c r="B51" s="184"/>
      <c r="C51" s="3"/>
      <c r="E51" s="3"/>
      <c r="F51" s="3"/>
      <c r="G51" s="3"/>
      <c r="H51" s="3"/>
      <c r="I51" s="3"/>
      <c r="J51" s="3"/>
      <c r="K51" s="3"/>
      <c r="L51" s="3"/>
      <c r="M51" s="3"/>
      <c r="N51" s="3"/>
      <c r="O51" s="3"/>
    </row>
    <row r="52" spans="1:22" s="5" customFormat="1" ht="30" x14ac:dyDescent="0.5">
      <c r="A52" s="157" t="s">
        <v>60</v>
      </c>
      <c r="B52" s="4"/>
      <c r="C52" s="6"/>
      <c r="D52" s="6"/>
      <c r="E52" s="6"/>
      <c r="F52" s="6"/>
      <c r="G52" s="6"/>
      <c r="H52" s="6"/>
      <c r="I52" s="6"/>
      <c r="J52" s="6"/>
      <c r="K52" s="6"/>
      <c r="L52" s="6"/>
      <c r="M52" s="6"/>
      <c r="N52" s="6"/>
      <c r="O52" s="6"/>
      <c r="P52" s="6"/>
      <c r="Q52" s="6"/>
      <c r="R52" s="6"/>
      <c r="S52" s="6"/>
      <c r="T52" s="6"/>
      <c r="U52" s="6"/>
      <c r="V52" s="6"/>
    </row>
    <row r="53" spans="1:22" ht="22.8" x14ac:dyDescent="0.3">
      <c r="A53" s="3"/>
      <c r="B53" s="3"/>
      <c r="C53" s="3"/>
      <c r="D53" s="3"/>
      <c r="E53" s="3"/>
      <c r="F53" s="3"/>
      <c r="G53" s="3"/>
      <c r="H53" s="3"/>
      <c r="I53" s="3"/>
      <c r="J53" s="3"/>
      <c r="K53" s="3"/>
      <c r="L53" s="3"/>
      <c r="M53" s="3"/>
      <c r="N53" s="3"/>
      <c r="O53" s="3"/>
    </row>
    <row r="54" spans="1:22" ht="22.8" x14ac:dyDescent="0.3">
      <c r="A54" s="3"/>
      <c r="B54" s="3"/>
      <c r="C54" s="3"/>
      <c r="D54" s="3"/>
      <c r="E54" s="3"/>
      <c r="F54" s="3"/>
      <c r="G54" s="3"/>
      <c r="H54" s="3"/>
      <c r="I54" s="3"/>
      <c r="J54" s="3"/>
      <c r="K54" s="3"/>
      <c r="L54" s="3"/>
      <c r="M54" s="3"/>
      <c r="N54" s="3"/>
      <c r="O54" s="3"/>
    </row>
    <row r="55" spans="1:22" ht="22.8" x14ac:dyDescent="0.3">
      <c r="A55" s="3"/>
      <c r="B55" s="3"/>
      <c r="C55" s="3"/>
      <c r="D55" s="3"/>
      <c r="E55" s="3"/>
      <c r="F55" s="3"/>
      <c r="G55" s="3"/>
      <c r="H55" s="3"/>
      <c r="I55" s="3"/>
      <c r="J55" s="3"/>
      <c r="K55" s="3"/>
      <c r="L55" s="3"/>
      <c r="M55" s="3"/>
      <c r="N55" s="3"/>
      <c r="O55" s="3"/>
    </row>
    <row r="56" spans="1:22" ht="22.8" x14ac:dyDescent="0.3">
      <c r="A56" s="3"/>
      <c r="B56" s="3"/>
      <c r="C56" s="3"/>
      <c r="D56" s="3"/>
      <c r="E56" s="3"/>
      <c r="F56" s="3"/>
      <c r="G56" s="3"/>
      <c r="H56" s="3"/>
      <c r="I56" s="3"/>
      <c r="J56" s="3"/>
      <c r="K56" s="3"/>
      <c r="L56" s="3"/>
      <c r="M56" s="3"/>
      <c r="N56" s="3"/>
      <c r="O56" s="3"/>
    </row>
    <row r="57" spans="1:22" ht="22.8" x14ac:dyDescent="0.3">
      <c r="A57" s="3"/>
      <c r="B57" s="3"/>
      <c r="C57" s="3"/>
      <c r="D57" s="3"/>
      <c r="E57" s="3"/>
      <c r="F57" s="3"/>
      <c r="G57" s="3"/>
      <c r="H57" s="3"/>
      <c r="I57" s="3"/>
      <c r="J57" s="3"/>
      <c r="K57" s="3"/>
      <c r="L57" s="3"/>
      <c r="M57" s="3"/>
      <c r="N57" s="3"/>
      <c r="O57" s="3"/>
    </row>
    <row r="58" spans="1:22" ht="22.8" x14ac:dyDescent="0.3">
      <c r="A58" s="3"/>
      <c r="B58" s="3"/>
      <c r="C58" s="3"/>
      <c r="D58" s="3"/>
      <c r="E58" s="3"/>
      <c r="F58" s="3"/>
      <c r="G58" s="3"/>
      <c r="H58" s="3"/>
      <c r="I58" s="3"/>
      <c r="J58" s="3"/>
      <c r="K58" s="3"/>
      <c r="L58" s="3"/>
      <c r="M58" s="3"/>
      <c r="N58" s="3"/>
      <c r="O58" s="3"/>
    </row>
    <row r="59" spans="1:22" ht="22.8" x14ac:dyDescent="0.3">
      <c r="A59" s="3"/>
      <c r="B59" s="3"/>
      <c r="C59" s="3"/>
      <c r="D59" s="3"/>
      <c r="E59" s="3"/>
      <c r="F59" s="3"/>
      <c r="G59" s="3"/>
      <c r="H59" s="3"/>
      <c r="I59" s="3"/>
      <c r="J59" s="3"/>
      <c r="K59" s="3"/>
      <c r="L59" s="3"/>
      <c r="M59" s="3"/>
      <c r="N59" s="3"/>
      <c r="O59" s="3"/>
    </row>
    <row r="60" spans="1:22" ht="22.8" x14ac:dyDescent="0.3">
      <c r="A60" s="3"/>
      <c r="B60" s="3"/>
      <c r="C60" s="3"/>
      <c r="D60" s="3"/>
      <c r="E60" s="3"/>
      <c r="F60" s="3"/>
      <c r="G60" s="3"/>
      <c r="H60" s="3"/>
      <c r="I60" s="3"/>
      <c r="J60" s="3"/>
      <c r="K60" s="3"/>
      <c r="L60" s="3"/>
      <c r="M60" s="3"/>
      <c r="N60" s="3"/>
      <c r="O60" s="3"/>
    </row>
    <row r="61" spans="1:22" ht="22.8" x14ac:dyDescent="0.3">
      <c r="A61" s="3"/>
      <c r="B61" s="3"/>
      <c r="C61" s="3"/>
      <c r="D61" s="3"/>
      <c r="E61" s="3"/>
      <c r="F61" s="3"/>
      <c r="G61" s="3"/>
      <c r="H61" s="3"/>
      <c r="I61" s="3"/>
      <c r="J61" s="3"/>
      <c r="K61" s="3"/>
      <c r="L61" s="3"/>
      <c r="M61" s="3"/>
      <c r="N61" s="3"/>
      <c r="O61" s="3"/>
    </row>
    <row r="62" spans="1:22" ht="22.8" x14ac:dyDescent="0.3">
      <c r="A62" s="3"/>
      <c r="B62" s="3"/>
      <c r="C62" s="3"/>
      <c r="D62" s="3"/>
      <c r="E62" s="3"/>
      <c r="F62" s="3"/>
      <c r="G62" s="3"/>
      <c r="H62" s="3"/>
      <c r="I62" s="3"/>
      <c r="J62" s="3"/>
      <c r="K62" s="3"/>
      <c r="L62" s="3"/>
      <c r="M62" s="3"/>
      <c r="N62" s="3"/>
      <c r="O62" s="3"/>
    </row>
    <row r="63" spans="1:22" ht="22.8" x14ac:dyDescent="0.3">
      <c r="A63" s="3"/>
      <c r="B63" s="3"/>
      <c r="C63" s="3"/>
      <c r="D63" s="3"/>
      <c r="E63" s="3"/>
      <c r="F63" s="3"/>
      <c r="G63" s="3"/>
      <c r="H63" s="3"/>
      <c r="I63" s="3"/>
      <c r="J63" s="3"/>
      <c r="K63" s="3"/>
      <c r="L63" s="3"/>
      <c r="M63" s="3"/>
      <c r="N63" s="3"/>
      <c r="O63" s="3"/>
    </row>
    <row r="64" spans="1:22" ht="22.8" x14ac:dyDescent="0.3">
      <c r="A64" s="3"/>
      <c r="B64" s="3"/>
      <c r="C64" s="3"/>
      <c r="D64" s="3"/>
      <c r="E64" s="3"/>
      <c r="F64" s="3"/>
      <c r="G64" s="3"/>
      <c r="H64" s="3"/>
      <c r="I64" s="3"/>
      <c r="J64" s="3"/>
      <c r="K64" s="3"/>
      <c r="L64" s="3"/>
      <c r="M64" s="3"/>
      <c r="N64" s="3"/>
      <c r="O64" s="3"/>
    </row>
    <row r="65" spans="1:15" ht="22.8" x14ac:dyDescent="0.3">
      <c r="A65" s="3"/>
      <c r="B65" s="3"/>
      <c r="C65" s="3"/>
      <c r="D65" s="3"/>
      <c r="E65" s="3"/>
      <c r="F65" s="3"/>
      <c r="G65" s="3"/>
      <c r="H65" s="3"/>
      <c r="I65" s="3"/>
      <c r="J65" s="3"/>
      <c r="K65" s="3"/>
      <c r="L65" s="3"/>
      <c r="M65" s="3"/>
      <c r="N65" s="3"/>
      <c r="O65" s="3"/>
    </row>
    <row r="66" spans="1:15" ht="22.8" x14ac:dyDescent="0.3">
      <c r="A66" s="3"/>
      <c r="B66" s="3"/>
      <c r="C66" s="3"/>
      <c r="D66" s="3"/>
      <c r="E66" s="3"/>
      <c r="F66" s="3"/>
      <c r="G66" s="3"/>
      <c r="H66" s="3"/>
      <c r="I66" s="3"/>
      <c r="J66" s="3"/>
      <c r="K66" s="3"/>
      <c r="L66" s="3"/>
      <c r="M66" s="3"/>
      <c r="N66" s="3"/>
      <c r="O66" s="3"/>
    </row>
    <row r="67" spans="1:15" ht="22.8" x14ac:dyDescent="0.3">
      <c r="A67" s="3"/>
      <c r="B67" s="3"/>
      <c r="C67" s="3"/>
      <c r="D67" s="3"/>
      <c r="E67" s="3"/>
      <c r="F67" s="3"/>
      <c r="G67" s="3"/>
      <c r="H67" s="3"/>
      <c r="I67" s="3"/>
      <c r="J67" s="3"/>
      <c r="K67" s="3"/>
      <c r="L67" s="3"/>
      <c r="M67" s="3"/>
      <c r="N67" s="3"/>
      <c r="O67" s="3"/>
    </row>
    <row r="68" spans="1:15" ht="22.8" x14ac:dyDescent="0.3">
      <c r="A68" s="3"/>
      <c r="B68" s="3"/>
      <c r="C68" s="3"/>
      <c r="D68" s="3"/>
      <c r="E68" s="3"/>
      <c r="F68" s="3"/>
      <c r="G68" s="3"/>
      <c r="H68" s="3"/>
      <c r="I68" s="3"/>
      <c r="J68" s="3"/>
      <c r="K68" s="3"/>
      <c r="L68" s="3"/>
      <c r="M68" s="3"/>
      <c r="N68" s="3"/>
      <c r="O68" s="3"/>
    </row>
    <row r="69" spans="1:15" ht="22.8" x14ac:dyDescent="0.3">
      <c r="A69" s="3"/>
      <c r="B69" s="3"/>
      <c r="C69" s="3"/>
      <c r="D69" s="3"/>
      <c r="E69" s="3"/>
      <c r="F69" s="3"/>
      <c r="G69" s="3"/>
      <c r="H69" s="3"/>
      <c r="I69" s="3"/>
      <c r="J69" s="3"/>
      <c r="K69" s="3"/>
      <c r="L69" s="3"/>
      <c r="M69" s="3"/>
      <c r="N69" s="3"/>
      <c r="O69" s="3"/>
    </row>
    <row r="70" spans="1:15" ht="22.8" x14ac:dyDescent="0.3">
      <c r="A70" s="3"/>
      <c r="B70" s="3"/>
      <c r="C70" s="3"/>
      <c r="D70" s="3"/>
      <c r="E70" s="3"/>
      <c r="F70" s="3"/>
      <c r="G70" s="3"/>
      <c r="H70" s="3"/>
      <c r="I70" s="3"/>
      <c r="J70" s="3"/>
      <c r="K70" s="3"/>
      <c r="L70" s="3"/>
      <c r="M70" s="3"/>
      <c r="N70" s="3"/>
      <c r="O70" s="3"/>
    </row>
    <row r="71" spans="1:15" ht="22.8" x14ac:dyDescent="0.3">
      <c r="A71" s="3"/>
      <c r="B71" s="3"/>
      <c r="C71" s="3"/>
      <c r="D71" s="3"/>
      <c r="E71" s="3"/>
      <c r="F71" s="3"/>
      <c r="G71" s="3"/>
      <c r="H71" s="3"/>
      <c r="I71" s="3"/>
      <c r="J71" s="3"/>
      <c r="K71" s="3"/>
      <c r="L71" s="3"/>
      <c r="M71" s="3"/>
      <c r="N71" s="3"/>
      <c r="O71" s="3"/>
    </row>
    <row r="72" spans="1:15" ht="22.8" x14ac:dyDescent="0.3">
      <c r="A72" s="3"/>
      <c r="B72" s="3"/>
      <c r="C72" s="3"/>
      <c r="D72" s="3"/>
      <c r="E72" s="3"/>
      <c r="F72" s="3"/>
      <c r="G72" s="3"/>
      <c r="H72" s="3"/>
      <c r="I72" s="3"/>
      <c r="J72" s="3"/>
      <c r="K72" s="3"/>
      <c r="L72" s="3"/>
      <c r="M72" s="3"/>
      <c r="N72" s="3"/>
      <c r="O72" s="3"/>
    </row>
    <row r="73" spans="1:15" ht="22.8" x14ac:dyDescent="0.3">
      <c r="A73" s="3"/>
      <c r="B73" s="3"/>
      <c r="C73" s="3"/>
      <c r="D73" s="3"/>
      <c r="E73" s="3"/>
      <c r="F73" s="3"/>
      <c r="G73" s="3"/>
      <c r="H73" s="3"/>
      <c r="I73" s="3"/>
      <c r="J73" s="3"/>
      <c r="K73" s="3"/>
      <c r="L73" s="3"/>
      <c r="M73" s="3"/>
      <c r="N73" s="3"/>
      <c r="O73" s="3"/>
    </row>
    <row r="74" spans="1:15" ht="22.8" x14ac:dyDescent="0.3">
      <c r="A74" s="3"/>
      <c r="B74" s="3"/>
      <c r="C74" s="3"/>
      <c r="D74" s="3"/>
      <c r="E74" s="3"/>
      <c r="F74" s="3"/>
      <c r="G74" s="3"/>
      <c r="H74" s="3"/>
      <c r="I74" s="3"/>
      <c r="J74" s="3"/>
      <c r="K74" s="3"/>
      <c r="L74" s="3"/>
      <c r="M74" s="3"/>
      <c r="N74" s="3"/>
      <c r="O74" s="3"/>
    </row>
    <row r="75" spans="1:15" ht="22.8" x14ac:dyDescent="0.3">
      <c r="A75" s="3"/>
      <c r="B75" s="3"/>
      <c r="C75" s="3"/>
      <c r="D75" s="3"/>
      <c r="E75" s="3"/>
      <c r="F75" s="3"/>
      <c r="G75" s="3"/>
      <c r="H75" s="3"/>
      <c r="I75" s="3"/>
      <c r="J75" s="3"/>
      <c r="K75" s="3"/>
      <c r="L75" s="3"/>
      <c r="M75" s="3"/>
      <c r="N75" s="3"/>
      <c r="O75" s="3"/>
    </row>
    <row r="76" spans="1:15" ht="22.8" x14ac:dyDescent="0.3">
      <c r="A76" s="3"/>
      <c r="B76" s="3"/>
      <c r="C76" s="3"/>
      <c r="D76" s="3"/>
      <c r="E76" s="3"/>
      <c r="F76" s="3"/>
      <c r="G76" s="3"/>
      <c r="H76" s="3"/>
      <c r="I76" s="3"/>
      <c r="J76" s="3"/>
      <c r="K76" s="3"/>
      <c r="L76" s="3"/>
      <c r="M76" s="3"/>
      <c r="N76" s="3"/>
      <c r="O76" s="3"/>
    </row>
    <row r="77" spans="1:15" ht="22.8" x14ac:dyDescent="0.3">
      <c r="A77" s="3"/>
      <c r="B77" s="3"/>
      <c r="C77" s="3"/>
      <c r="D77" s="3"/>
      <c r="E77" s="3"/>
      <c r="F77" s="3"/>
      <c r="G77" s="3"/>
      <c r="H77" s="3"/>
      <c r="I77" s="3"/>
      <c r="J77" s="3"/>
      <c r="K77" s="3"/>
      <c r="L77" s="3"/>
      <c r="M77" s="3"/>
      <c r="N77" s="3"/>
      <c r="O77" s="3"/>
    </row>
    <row r="78" spans="1:15" ht="22.8" x14ac:dyDescent="0.3">
      <c r="A78" s="3"/>
      <c r="B78" s="3"/>
      <c r="C78" s="3"/>
      <c r="D78" s="3"/>
      <c r="E78" s="3"/>
      <c r="F78" s="3"/>
      <c r="G78" s="3"/>
      <c r="H78" s="3"/>
      <c r="I78" s="3"/>
      <c r="J78" s="3"/>
      <c r="K78" s="3"/>
      <c r="L78" s="3"/>
      <c r="M78" s="3"/>
      <c r="N78" s="3"/>
      <c r="O78" s="3"/>
    </row>
    <row r="79" spans="1:15" ht="22.8" x14ac:dyDescent="0.3">
      <c r="A79" s="3"/>
      <c r="B79" s="3"/>
      <c r="C79" s="3"/>
      <c r="D79" s="3"/>
      <c r="E79" s="3"/>
      <c r="F79" s="3"/>
      <c r="G79" s="3"/>
      <c r="H79" s="3"/>
      <c r="I79" s="3"/>
      <c r="J79" s="3"/>
      <c r="K79" s="3"/>
      <c r="L79" s="3"/>
      <c r="M79" s="3"/>
      <c r="N79" s="3"/>
      <c r="O79" s="3"/>
    </row>
    <row r="80" spans="1:15" ht="22.8" x14ac:dyDescent="0.3">
      <c r="A80" s="3"/>
      <c r="B80" s="3"/>
      <c r="C80" s="3"/>
      <c r="D80" s="3"/>
      <c r="E80" s="3"/>
      <c r="F80" s="3"/>
      <c r="G80" s="3"/>
      <c r="H80" s="3"/>
      <c r="I80" s="3"/>
      <c r="J80" s="3"/>
      <c r="K80" s="3"/>
      <c r="L80" s="3"/>
      <c r="M80" s="3"/>
      <c r="N80" s="3"/>
      <c r="O80" s="3"/>
    </row>
    <row r="81" spans="1:15" ht="22.8" x14ac:dyDescent="0.3">
      <c r="A81" s="3"/>
      <c r="B81" s="3"/>
      <c r="C81" s="3"/>
      <c r="D81" s="3"/>
      <c r="E81" s="3"/>
      <c r="F81" s="3"/>
      <c r="G81" s="3"/>
      <c r="H81" s="3"/>
      <c r="I81" s="3"/>
      <c r="J81" s="3"/>
      <c r="K81" s="3"/>
      <c r="L81" s="3"/>
      <c r="M81" s="3"/>
      <c r="N81" s="3"/>
      <c r="O81" s="3"/>
    </row>
    <row r="82" spans="1:15" ht="22.8" x14ac:dyDescent="0.3">
      <c r="A82" s="3"/>
      <c r="B82" s="3"/>
      <c r="C82" s="3"/>
      <c r="D82" s="3"/>
      <c r="E82" s="3"/>
      <c r="F82" s="3"/>
      <c r="G82" s="3"/>
      <c r="H82" s="3"/>
      <c r="I82" s="3"/>
      <c r="J82" s="3"/>
      <c r="K82" s="3"/>
      <c r="L82" s="3"/>
      <c r="M82" s="3"/>
      <c r="N82" s="3"/>
      <c r="O82" s="3"/>
    </row>
    <row r="83" spans="1:15" ht="22.8" x14ac:dyDescent="0.3">
      <c r="A83" s="3"/>
      <c r="B83" s="3"/>
      <c r="C83" s="3"/>
      <c r="D83" s="3"/>
      <c r="E83" s="3"/>
      <c r="F83" s="3"/>
      <c r="G83" s="3"/>
      <c r="H83" s="3"/>
      <c r="I83" s="3"/>
      <c r="J83" s="3"/>
      <c r="K83" s="3"/>
      <c r="L83" s="3"/>
      <c r="M83" s="3"/>
      <c r="N83" s="3"/>
      <c r="O83" s="3"/>
    </row>
    <row r="84" spans="1:15" ht="22.8" x14ac:dyDescent="0.3">
      <c r="A84" s="3"/>
      <c r="B84" s="3"/>
      <c r="C84" s="3"/>
      <c r="D84" s="3"/>
      <c r="E84" s="3"/>
      <c r="F84" s="3"/>
      <c r="G84" s="3"/>
      <c r="H84" s="3"/>
      <c r="I84" s="3"/>
      <c r="J84" s="3"/>
      <c r="K84" s="3"/>
      <c r="L84" s="3"/>
      <c r="M84" s="3"/>
      <c r="N84" s="3"/>
      <c r="O84" s="3"/>
    </row>
    <row r="85" spans="1:15" ht="22.8" x14ac:dyDescent="0.3">
      <c r="A85" s="3"/>
      <c r="B85" s="3"/>
      <c r="C85" s="3"/>
      <c r="D85" s="3"/>
      <c r="E85" s="3"/>
      <c r="F85" s="3"/>
      <c r="G85" s="3"/>
      <c r="H85" s="3"/>
      <c r="I85" s="3"/>
      <c r="J85" s="3"/>
      <c r="K85" s="3"/>
      <c r="L85" s="3"/>
      <c r="M85" s="3"/>
      <c r="N85" s="3"/>
      <c r="O85" s="3"/>
    </row>
    <row r="86" spans="1:15" ht="22.8" x14ac:dyDescent="0.3">
      <c r="A86" s="3"/>
      <c r="B86" s="3"/>
      <c r="C86" s="3"/>
      <c r="D86" s="3"/>
      <c r="E86" s="3"/>
      <c r="F86" s="3"/>
      <c r="G86" s="3"/>
      <c r="H86" s="3"/>
      <c r="I86" s="3"/>
      <c r="J86" s="3"/>
      <c r="K86" s="3"/>
      <c r="L86" s="3"/>
      <c r="M86" s="3"/>
      <c r="N86" s="3"/>
      <c r="O86" s="3"/>
    </row>
    <row r="87" spans="1:15" ht="22.8" x14ac:dyDescent="0.3">
      <c r="A87" s="3"/>
      <c r="B87" s="3"/>
      <c r="C87" s="3"/>
      <c r="D87" s="3"/>
      <c r="E87" s="3"/>
      <c r="F87" s="3"/>
      <c r="G87" s="3"/>
      <c r="H87" s="3"/>
      <c r="I87" s="3"/>
      <c r="J87" s="3"/>
      <c r="K87" s="3"/>
      <c r="L87" s="3"/>
      <c r="M87" s="3"/>
      <c r="N87" s="3"/>
      <c r="O87" s="3"/>
    </row>
    <row r="88" spans="1:15" ht="22.8" x14ac:dyDescent="0.3">
      <c r="A88" s="3"/>
      <c r="B88" s="3"/>
      <c r="C88" s="3"/>
      <c r="D88" s="3"/>
      <c r="E88" s="3"/>
      <c r="F88" s="3"/>
      <c r="G88" s="3"/>
      <c r="H88" s="3"/>
      <c r="I88" s="3"/>
      <c r="J88" s="3"/>
      <c r="K88" s="3"/>
      <c r="L88" s="3"/>
      <c r="M88" s="3"/>
      <c r="N88" s="3"/>
      <c r="O88" s="3"/>
    </row>
    <row r="89" spans="1:15" ht="22.8" x14ac:dyDescent="0.3">
      <c r="A89" s="188"/>
      <c r="B89" s="3"/>
      <c r="C89" s="3"/>
      <c r="D89" s="3"/>
      <c r="E89" s="3"/>
      <c r="F89" s="3"/>
      <c r="G89" s="3"/>
      <c r="H89" s="3"/>
      <c r="I89" s="3"/>
      <c r="J89" s="3"/>
      <c r="K89" s="3"/>
      <c r="L89" s="3"/>
      <c r="M89" s="3"/>
      <c r="N89" s="3"/>
      <c r="O89" s="3"/>
    </row>
    <row r="90" spans="1:15" ht="22.8" x14ac:dyDescent="0.3">
      <c r="A90" s="3"/>
      <c r="B90" s="3"/>
      <c r="C90" s="3"/>
      <c r="D90" s="3"/>
      <c r="E90" s="3"/>
      <c r="F90" s="3"/>
      <c r="G90" s="3"/>
      <c r="H90" s="3"/>
      <c r="I90" s="3"/>
      <c r="J90" s="3"/>
      <c r="K90" s="3"/>
      <c r="L90" s="3"/>
      <c r="M90" s="3"/>
      <c r="N90" s="3"/>
      <c r="O90" s="3"/>
    </row>
    <row r="91" spans="1:15" ht="22.8" x14ac:dyDescent="0.3">
      <c r="C91" s="3"/>
      <c r="D91" s="3"/>
      <c r="E91" s="3"/>
      <c r="F91" s="3"/>
      <c r="G91" s="3"/>
      <c r="H91" s="3"/>
      <c r="I91" s="3"/>
      <c r="J91" s="3"/>
      <c r="K91" s="3"/>
      <c r="L91" s="3"/>
      <c r="M91" s="3"/>
      <c r="N91" s="3"/>
      <c r="O91" s="3"/>
    </row>
    <row r="92" spans="1:15" ht="22.8" x14ac:dyDescent="0.3">
      <c r="C92" s="3"/>
      <c r="D92" s="3"/>
      <c r="E92" s="3"/>
      <c r="F92" s="3"/>
      <c r="G92" s="3"/>
      <c r="H92" s="3"/>
      <c r="I92" s="3"/>
      <c r="J92" s="3"/>
      <c r="K92" s="3"/>
      <c r="L92" s="3"/>
      <c r="M92" s="3"/>
      <c r="N92" s="3"/>
      <c r="O92" s="3"/>
    </row>
    <row r="93" spans="1:15" ht="22.8" x14ac:dyDescent="0.3">
      <c r="C93" s="3"/>
      <c r="D93" s="3"/>
      <c r="E93" s="3"/>
      <c r="F93" s="3"/>
      <c r="G93" s="3"/>
      <c r="H93" s="3"/>
      <c r="I93" s="3"/>
      <c r="J93" s="3"/>
      <c r="K93" s="3"/>
      <c r="L93" s="3"/>
      <c r="M93" s="3"/>
      <c r="N93" s="3"/>
      <c r="O93" s="3"/>
    </row>
    <row r="94" spans="1:15" ht="22.8" x14ac:dyDescent="0.3">
      <c r="C94" s="143"/>
      <c r="D94" s="3"/>
      <c r="E94" s="3"/>
      <c r="F94" s="3"/>
      <c r="G94" s="3"/>
      <c r="H94" s="3"/>
      <c r="I94" s="3"/>
      <c r="J94" s="3"/>
      <c r="K94" s="3"/>
      <c r="L94" s="3"/>
      <c r="M94" s="3"/>
      <c r="N94" s="3"/>
      <c r="O94" s="3"/>
    </row>
    <row r="95" spans="1:15" ht="22.8" x14ac:dyDescent="0.3">
      <c r="C95" s="3"/>
      <c r="D95" s="3"/>
      <c r="E95" s="3"/>
      <c r="F95" s="3"/>
      <c r="G95" s="3"/>
      <c r="H95" s="3"/>
      <c r="I95" s="3"/>
      <c r="J95" s="3"/>
      <c r="K95" s="3"/>
      <c r="L95" s="3"/>
      <c r="M95" s="3"/>
      <c r="N95" s="3"/>
      <c r="O95" s="3"/>
    </row>
    <row r="96" spans="1:15" ht="22.8" x14ac:dyDescent="0.3">
      <c r="C96" s="3"/>
      <c r="D96" s="3"/>
      <c r="E96" s="3"/>
      <c r="F96" s="3"/>
      <c r="G96" s="3"/>
      <c r="H96" s="3"/>
      <c r="I96" s="3"/>
      <c r="J96" s="3"/>
      <c r="K96" s="3"/>
      <c r="L96" s="3"/>
      <c r="M96" s="3"/>
      <c r="N96" s="3"/>
      <c r="O96" s="3"/>
    </row>
    <row r="97" spans="1:15" ht="22.8" x14ac:dyDescent="0.3">
      <c r="C97" s="3"/>
      <c r="D97" s="3"/>
      <c r="E97" s="3"/>
      <c r="F97" s="3"/>
      <c r="G97" s="3"/>
      <c r="H97" s="3"/>
      <c r="I97" s="3"/>
      <c r="J97" s="3"/>
      <c r="K97" s="3"/>
      <c r="L97" s="3"/>
      <c r="M97" s="3"/>
      <c r="N97" s="3"/>
      <c r="O97" s="3"/>
    </row>
    <row r="98" spans="1:15" ht="22.8" x14ac:dyDescent="0.3">
      <c r="A98" s="3"/>
      <c r="B98" s="3"/>
      <c r="C98" s="3"/>
      <c r="D98" s="3"/>
      <c r="E98" s="3"/>
      <c r="F98" s="3"/>
      <c r="G98" s="3"/>
      <c r="H98" s="3"/>
      <c r="I98" s="3"/>
      <c r="J98" s="3"/>
      <c r="K98" s="3"/>
      <c r="L98" s="3"/>
      <c r="M98" s="3"/>
      <c r="N98" s="3"/>
      <c r="O98" s="3"/>
    </row>
    <row r="99" spans="1:15" ht="22.8" x14ac:dyDescent="0.3">
      <c r="A99" s="3"/>
      <c r="B99" s="3"/>
      <c r="C99" s="3"/>
      <c r="D99" s="3"/>
      <c r="E99" s="3"/>
      <c r="F99" s="3"/>
      <c r="G99" s="3"/>
      <c r="H99" s="3"/>
      <c r="I99" s="3"/>
      <c r="J99" s="3"/>
      <c r="K99" s="3"/>
      <c r="L99" s="3"/>
      <c r="M99" s="3"/>
      <c r="N99" s="3"/>
      <c r="O99" s="3"/>
    </row>
    <row r="100" spans="1:15" ht="22.8" x14ac:dyDescent="0.3">
      <c r="A100" s="3"/>
      <c r="B100" s="3"/>
      <c r="C100" s="3"/>
      <c r="D100" s="3"/>
      <c r="E100" s="3"/>
      <c r="F100" s="3"/>
      <c r="G100" s="3"/>
      <c r="H100" s="3"/>
      <c r="I100" s="3"/>
      <c r="J100" s="3"/>
      <c r="K100" s="3"/>
      <c r="L100" s="3"/>
      <c r="M100" s="3"/>
      <c r="N100" s="3"/>
      <c r="O100" s="3"/>
    </row>
    <row r="101" spans="1:15" ht="22.8" x14ac:dyDescent="0.3">
      <c r="A101" s="3"/>
      <c r="B101" s="3"/>
      <c r="C101" s="3"/>
      <c r="D101" s="3"/>
      <c r="E101" s="3"/>
      <c r="F101" s="3"/>
      <c r="G101" s="3"/>
      <c r="H101" s="3"/>
      <c r="I101" s="3"/>
      <c r="J101" s="3"/>
      <c r="K101" s="3"/>
      <c r="L101" s="3"/>
      <c r="M101" s="3"/>
      <c r="N101" s="3"/>
      <c r="O101" s="3"/>
    </row>
    <row r="102" spans="1:15" ht="22.8" x14ac:dyDescent="0.3">
      <c r="A102" s="3"/>
      <c r="B102" s="3"/>
      <c r="C102" s="3"/>
      <c r="D102" s="3"/>
      <c r="E102" s="3"/>
      <c r="F102" s="3"/>
      <c r="G102" s="3"/>
      <c r="H102" s="3"/>
      <c r="I102" s="3"/>
      <c r="J102" s="3"/>
      <c r="K102" s="3"/>
      <c r="L102" s="3"/>
      <c r="M102" s="3"/>
      <c r="N102" s="3"/>
      <c r="O102" s="3"/>
    </row>
    <row r="103" spans="1:15" ht="22.8" x14ac:dyDescent="0.3">
      <c r="A103" s="3"/>
      <c r="B103" s="3"/>
      <c r="C103" s="3"/>
      <c r="D103" s="3"/>
      <c r="E103" s="3"/>
      <c r="F103" s="3"/>
      <c r="G103" s="3"/>
      <c r="H103" s="3"/>
      <c r="I103" s="3"/>
      <c r="J103" s="3"/>
      <c r="K103" s="3"/>
      <c r="L103" s="3"/>
      <c r="M103" s="3"/>
      <c r="N103" s="3"/>
      <c r="O103" s="3"/>
    </row>
    <row r="104" spans="1:15" ht="22.8" x14ac:dyDescent="0.3">
      <c r="A104" s="3"/>
      <c r="B104" s="3"/>
      <c r="C104" s="3"/>
      <c r="D104" s="3"/>
      <c r="E104" s="3"/>
      <c r="F104" s="3"/>
      <c r="G104" s="3"/>
      <c r="H104" s="3"/>
      <c r="I104" s="3"/>
      <c r="J104" s="3"/>
      <c r="K104" s="3"/>
      <c r="L104" s="3"/>
      <c r="M104" s="3"/>
      <c r="N104" s="3"/>
      <c r="O104" s="3"/>
    </row>
  </sheetData>
  <mergeCells count="1">
    <mergeCell ref="A3:B4"/>
  </mergeCells>
  <pageMargins left="0.7" right="0.7" top="0.75" bottom="0.75" header="0.3" footer="0.3"/>
  <drawing r:id="rId1"/>
  <tableParts count="8">
    <tablePart r:id="rId2"/>
    <tablePart r:id="rId3"/>
    <tablePart r:id="rId4"/>
    <tablePart r:id="rId5"/>
    <tablePart r:id="rId6"/>
    <tablePart r:id="rId7"/>
    <tablePart r:id="rId8"/>
    <tablePart r:id="rId9"/>
  </tableParts>
  <extLst>
    <ext xmlns:x14="http://schemas.microsoft.com/office/spreadsheetml/2009/9/main" uri="{78C0D931-6437-407d-A8EE-F0AAD7539E65}">
      <x14:conditionalFormattings>
        <x14:conditionalFormatting xmlns:xm="http://schemas.microsoft.com/office/excel/2006/main">
          <x14:cfRule type="expression" priority="168" id="{3A268AC0-1796-4502-9D58-644154A94174}">
            <xm:f>'Inputs - Constant'!$A$66&lt;&gt;'Inputs - Constant'!$A$60</xm:f>
            <x14:dxf>
              <font>
                <color theme="1"/>
              </font>
              <fill>
                <patternFill patternType="darkTrellis">
                  <bgColor theme="1" tint="0.499984740745262"/>
                </patternFill>
              </fill>
            </x14:dxf>
          </x14:cfRule>
          <xm:sqref>B21:N23 B26:B30</xm:sqref>
        </x14:conditionalFormatting>
        <x14:conditionalFormatting xmlns:xm="http://schemas.microsoft.com/office/excel/2006/main">
          <x14:cfRule type="expression" priority="169" id="{E350B8B8-DD8B-4331-9CE5-F3E9FC40BF88}">
            <xm:f>'Inputs - Constant'!$A$66&lt;&gt;'Inputs - Constant'!$A$61</xm:f>
            <x14:dxf>
              <font>
                <color theme="1"/>
              </font>
              <fill>
                <patternFill patternType="darkTrellis">
                  <bgColor theme="1" tint="0.499984740745262"/>
                </patternFill>
              </fill>
            </x14:dxf>
          </x14:cfRule>
          <xm:sqref>B33:N33 B36:B41</xm:sqref>
        </x14:conditionalFormatting>
        <x14:conditionalFormatting xmlns:xm="http://schemas.microsoft.com/office/excel/2006/main">
          <x14:cfRule type="expression" priority="171" id="{988C137B-D404-4D81-956F-9A9391E03F0F}">
            <xm:f>'Inputs - Constant'!$A$66&lt;&gt;'Inputs - Constant'!$A$62</xm:f>
            <x14:dxf>
              <font>
                <color theme="1"/>
              </font>
              <fill>
                <patternFill patternType="darkTrellis">
                  <bgColor theme="1" tint="0.499984740745262"/>
                </patternFill>
              </fill>
            </x14:dxf>
          </x14:cfRule>
          <xm:sqref>B44:N44 B47:B50</xm:sqref>
        </x14:conditionalFormatting>
        <x14:conditionalFormatting xmlns:xm="http://schemas.microsoft.com/office/excel/2006/main">
          <x14:cfRule type="expression" priority="118" id="{B742175B-D59C-485A-9607-2D7FA37C0665}">
            <xm:f>'Inputs - Constant'!E$90:N$90="No"</xm:f>
            <x14:dxf>
              <font>
                <color theme="1"/>
              </font>
              <fill>
                <patternFill patternType="darkTrellis">
                  <bgColor theme="1" tint="0.499984740745262"/>
                </patternFill>
              </fill>
            </x14:dxf>
          </x14:cfRule>
          <xm:sqref>E11:N13 E21:N23 E33:N33</xm:sqref>
        </x14:conditionalFormatting>
        <x14:conditionalFormatting xmlns:xm="http://schemas.microsoft.com/office/excel/2006/main">
          <x14:cfRule type="expression" priority="11" id="{B742175B-D59C-485A-9607-2D7FA37C0665}">
            <xm:f>'Inputs - Constant'!F$90:O$90="No"</xm:f>
            <x14:dxf>
              <font>
                <color theme="1"/>
              </font>
              <fill>
                <patternFill patternType="darkTrellis">
                  <bgColor theme="1" tint="0.499984740745262"/>
                </patternFill>
              </fill>
            </x14:dxf>
          </x14:cfRule>
          <xm:sqref>E44:N44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090650-A8BA-481D-8DD8-1FCF6DB7BB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START-INTRO</vt:lpstr>
      <vt:lpstr>Reference Material</vt:lpstr>
      <vt:lpstr>Flow Chart</vt:lpstr>
      <vt:lpstr>Inputs - Constant</vt:lpstr>
      <vt:lpstr>Inputs - Time Series</vt:lpstr>
      <vt:lpstr>Outputs</vt:lpstr>
      <vt:lpstr>DCF</vt:lpstr>
      <vt:lpstr>Outcomes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EVCI-FAST: Financial Analysis Spreadsheet Tool for Electric Vehicle Charging Infrastructure using P3s</dc:title>
  <dc:creator>FHWA</dc:creator>
  <cp:lastModifiedBy>Nunez-Martinez, Carolina CTR (Volpe)</cp:lastModifiedBy>
  <dcterms:created xsi:type="dcterms:W3CDTF">2015-06-05T18:17:20Z</dcterms:created>
  <dcterms:modified xsi:type="dcterms:W3CDTF">2024-08-23T19:07:54Z</dcterms:modified>
</cp:coreProperties>
</file>